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<sst xmlns="http://schemas.openxmlformats.org/spreadsheetml/2006/main" count="821" uniqueCount="272">
  <si>
    <t>joint</t>
  </si>
  <si>
    <t>a</t>
  </si>
  <si>
    <t>b</t>
  </si>
  <si>
    <t>c</t>
  </si>
  <si>
    <t>k</t>
  </si>
  <si>
    <t>mem-end</t>
  </si>
  <si>
    <t>ab</t>
  </si>
  <si>
    <t>ba</t>
  </si>
  <si>
    <t>bc</t>
  </si>
  <si>
    <t>cb</t>
  </si>
  <si>
    <t>df</t>
  </si>
  <si>
    <t>fem</t>
  </si>
  <si>
    <t>k=EI/10</t>
  </si>
  <si>
    <t>rel stiff</t>
  </si>
  <si>
    <t>0.75k</t>
  </si>
  <si>
    <t>Here must release joint c first</t>
  </si>
  <si>
    <t>convg BM</t>
  </si>
  <si>
    <t>dist</t>
  </si>
  <si>
    <t>co</t>
  </si>
  <si>
    <t>No carry over to c</t>
  </si>
  <si>
    <t>Modified fem (rhs table, Hibbeler) used for bc</t>
  </si>
  <si>
    <t>Original fem's used</t>
  </si>
  <si>
    <t xml:space="preserve">Finite steps to convergence in this problem </t>
  </si>
  <si>
    <t>Finite steps to convergence in this problem</t>
  </si>
  <si>
    <t>since co only to joint where no distribution</t>
  </si>
  <si>
    <t>Method-1, modified stiffnesses used</t>
  </si>
  <si>
    <t>Takes longer to converge.</t>
  </si>
  <si>
    <t>Method-1, modified stiffnesses not used</t>
  </si>
  <si>
    <t>Method-2, modified stiffnesses not used</t>
  </si>
  <si>
    <t>So Method-2 will also look same</t>
  </si>
  <si>
    <t xml:space="preserve">So cant use Method-2 when using modified </t>
  </si>
  <si>
    <t>stiffnesses but original fem's.</t>
  </si>
  <si>
    <t>0.375k</t>
  </si>
  <si>
    <t>k=I/30</t>
  </si>
  <si>
    <t>0.75k*0.5=0.375k</t>
  </si>
  <si>
    <t>mod stiff</t>
  </si>
  <si>
    <t>ref stiff</t>
  </si>
  <si>
    <t>Modified fem (rhs table, Hibbeler) used for ab</t>
  </si>
  <si>
    <t>No carry over to a or c</t>
  </si>
  <si>
    <t>since no co.</t>
  </si>
  <si>
    <t xml:space="preserve">since no co back to jt a as it is SS, </t>
  </si>
  <si>
    <t>and no co to jt c</t>
  </si>
  <si>
    <t>d</t>
  </si>
  <si>
    <t>e</t>
  </si>
  <si>
    <t>f</t>
  </si>
  <si>
    <t>be</t>
  </si>
  <si>
    <t>cd</t>
  </si>
  <si>
    <t>cf</t>
  </si>
  <si>
    <t>dc</t>
  </si>
  <si>
    <t>eb</t>
  </si>
  <si>
    <t>fc</t>
  </si>
  <si>
    <t>1.5k</t>
  </si>
  <si>
    <t>.75k</t>
  </si>
  <si>
    <t>inf</t>
  </si>
  <si>
    <t>sum jt b,c</t>
  </si>
  <si>
    <t>Modified fem (rhs table,</t>
  </si>
  <si>
    <t xml:space="preserve">Be careful in  co since </t>
  </si>
  <si>
    <t xml:space="preserve">corresponding farther joint </t>
  </si>
  <si>
    <t>Hibbeler) used for cd.</t>
  </si>
  <si>
    <t>No carry over to a, d.</t>
  </si>
  <si>
    <t>not contiguous in table.</t>
  </si>
  <si>
    <t>so must release joint c first</t>
  </si>
  <si>
    <t>More mechanical, so less prone to errors.</t>
  </si>
  <si>
    <t>So cant use Method-2 when</t>
  </si>
  <si>
    <t>using modified stiffnesses</t>
  </si>
  <si>
    <t>From here on same as above</t>
  </si>
  <si>
    <t>convg BM=sum(</t>
  </si>
  <si>
    <t>Modified stiffnesses used.</t>
  </si>
  <si>
    <t>Method-1.</t>
  </si>
  <si>
    <t>so must release joint d first.</t>
  </si>
  <si>
    <t>with original fem's.</t>
  </si>
  <si>
    <t xml:space="preserve">Modified stiffnesses used. </t>
  </si>
  <si>
    <t>Method-2.</t>
  </si>
  <si>
    <t>stiffnesses with original fem's.</t>
  </si>
  <si>
    <t>ce</t>
  </si>
  <si>
    <t>k=500/15</t>
  </si>
  <si>
    <t>3k</t>
  </si>
  <si>
    <t>Sway restraint using pin at c.</t>
  </si>
  <si>
    <t>Note overhang rel stiff and df.</t>
  </si>
  <si>
    <t>Method-2</t>
  </si>
  <si>
    <t>Joint e is free end, so not in table</t>
  </si>
  <si>
    <t>4.5k</t>
  </si>
  <si>
    <t>since no co. to b.</t>
  </si>
  <si>
    <t xml:space="preserve">Due to antisymmetry, by observation, BM for cb, cd, dc has </t>
  </si>
  <si>
    <t xml:space="preserve">same magnitude and direction as BM for bc, ba, ab, </t>
  </si>
  <si>
    <t>respectively, so no need to generate them thru table.</t>
  </si>
  <si>
    <t>Note mod stiff due to antisymmetry in bc.</t>
  </si>
  <si>
    <t>Ex. 1</t>
  </si>
  <si>
    <t>Ex.2</t>
  </si>
  <si>
    <t>Ex. 3</t>
  </si>
  <si>
    <t>Ex. 4</t>
  </si>
  <si>
    <t>Method-1 looks identical.</t>
  </si>
  <si>
    <t>ax</t>
  </si>
  <si>
    <t>dx</t>
  </si>
  <si>
    <t>r</t>
  </si>
  <si>
    <t>from momt equil of ab, left +ve</t>
  </si>
  <si>
    <t>from momt equil of cd, left +ve</t>
  </si>
  <si>
    <t>from horz ext-equil, right +ve</t>
  </si>
  <si>
    <t>Bmprime</t>
  </si>
  <si>
    <t>Bmdash</t>
  </si>
  <si>
    <t>axprime</t>
  </si>
  <si>
    <t>dxprime</t>
  </si>
  <si>
    <t>rprime</t>
  </si>
  <si>
    <t>BM</t>
  </si>
  <si>
    <t>BM=Bmprime+(-r)/rprime*Bmdash</t>
  </si>
  <si>
    <t>jt</t>
  </si>
  <si>
    <t>mem end</t>
  </si>
  <si>
    <t>stiff</t>
  </si>
  <si>
    <t xml:space="preserve"> </t>
  </si>
  <si>
    <t>dist,co</t>
  </si>
  <si>
    <t>BM1</t>
  </si>
  <si>
    <t xml:space="preserve">stiff </t>
  </si>
  <si>
    <t>BM2</t>
  </si>
  <si>
    <t>added Autumn 2012</t>
  </si>
  <si>
    <t>Va</t>
  </si>
  <si>
    <t>Vd</t>
  </si>
  <si>
    <t>Rx</t>
  </si>
  <si>
    <t>Part2</t>
  </si>
  <si>
    <t>Part1</t>
  </si>
  <si>
    <t>Delta1=2*Delta*sin_alpha; sin_alpha=3/5;</t>
  </si>
  <si>
    <t>Fem_ba=3EI*Delta/Lab^2=100; Fem_bc=6EI*Delta1/Lbc^2;</t>
  </si>
  <si>
    <t>Fem_bc=2*2*3/5*Fem_ba;</t>
  </si>
  <si>
    <t>Va=-(Mab+Mba)/Lab; Vd=-(Mdc+Mcd)/Lcd;</t>
  </si>
  <si>
    <t>leading to antisymm deformation.</t>
  </si>
  <si>
    <t xml:space="preserve">This is only to check that antisymm concept above works. </t>
  </si>
  <si>
    <t>Here it is done without stiffness reduction due to antisymm.</t>
  </si>
  <si>
    <t>Checks out!</t>
  </si>
  <si>
    <t>R</t>
  </si>
  <si>
    <t>(Rx-20)*5*cot_alpha+(Va+Vd)*(10+5/sin_alpha)=0;</t>
  </si>
  <si>
    <t>R*5/sin_alpha-20*5*cot_alpha+(Va+Vd)*(10+5/sin_alpha)=0;</t>
  </si>
  <si>
    <t>Rx if vertical roller at C to prevent sway</t>
  </si>
  <si>
    <t>R if inclined roller at C, in direction of CD, to prevent sway.</t>
  </si>
  <si>
    <t xml:space="preserve">Only vertical symmetric load acts, </t>
  </si>
  <si>
    <t>Only horizontal antisymm load,</t>
  </si>
  <si>
    <t>No no-sway soln, only pure sway soln.</t>
  </si>
  <si>
    <t>leading to symmetric deformation,</t>
  </si>
  <si>
    <t>i.e., pure no-sway solution.</t>
  </si>
  <si>
    <t>Done by letting all loads act. So sway and no-sway part</t>
  </si>
  <si>
    <t>superposed. For no-sway part, momt distribution as in Part 1</t>
  </si>
  <si>
    <t>above.</t>
  </si>
  <si>
    <t>For sway part, momt distribution and</t>
  </si>
  <si>
    <t>Va, Vd, as in Part 2 above.</t>
  </si>
  <si>
    <t>Rxprime*5*cot_alpha=(Va+Vd)*(10+5/sin_alpha);</t>
  </si>
  <si>
    <t>Rprime*5/sin_alpha=(Va+Vd)*(10+5/sin_alpha);</t>
  </si>
  <si>
    <t>Rprime if inclined roller at C, in direction of CD, to prevent</t>
  </si>
  <si>
    <t>sway;</t>
  </si>
  <si>
    <t>Rxprime if vertical roller at C to prevent sway;</t>
  </si>
  <si>
    <t>Rxprime</t>
  </si>
  <si>
    <t>Rprime</t>
  </si>
  <si>
    <t>so you can choose roller in any direction, except</t>
  </si>
  <si>
    <t>perpendicular to member for which sway is prevented,</t>
  </si>
  <si>
    <t>an you get same scaling factor (sf).</t>
  </si>
  <si>
    <t>sf</t>
  </si>
  <si>
    <t>sf=Rx/Rxprime</t>
  </si>
  <si>
    <t>sf=R/Rprime</t>
  </si>
  <si>
    <t xml:space="preserve">BM=BM1+sf*BM2, i.e., same as from above Part1 plus </t>
  </si>
  <si>
    <t xml:space="preserve">Part2 soln, where symm (pur no_sway) and antisymm  </t>
  </si>
  <si>
    <t>(pure sway) problems were solved separately.</t>
  </si>
  <si>
    <t xml:space="preserve">Momt distr as in Part2 above. </t>
  </si>
  <si>
    <t>Fx</t>
  </si>
  <si>
    <t>sf=scaling factor=20/Fx</t>
  </si>
  <si>
    <t>Fx*5*cot_alpha=(Va+Vd)*(10+5/sin_alpha);</t>
  </si>
  <si>
    <t>BM=BM1+20/Fx*BM2</t>
  </si>
  <si>
    <t>Loads are rightward 20kN at B, downward 35kN at C</t>
  </si>
  <si>
    <t>Done by pure sway solution, i.e., no no-sway part,</t>
  </si>
  <si>
    <t>by superposing solution due to each load.</t>
  </si>
  <si>
    <t>Fy</t>
  </si>
  <si>
    <t>BM=(20/Fx+35/Fy)*BM2</t>
  </si>
  <si>
    <t>superposed. For no-sway part, momt distribution is zero.</t>
  </si>
  <si>
    <t>So Va=0, Vd=0;</t>
  </si>
  <si>
    <t>(Rx-20)*5*cot_alpha+35*5=0;</t>
  </si>
  <si>
    <t>R*5/sin_alpha-20*5*cot_alpha+35*5=0;</t>
  </si>
  <si>
    <t>Hence, Rxprime and Rprime as above;</t>
  </si>
  <si>
    <t>So again sf=Rx/Rxprime=R/Rprime;</t>
  </si>
  <si>
    <t>Fy*5+(Va+Vd)*(10+5/sin_alpha)=0;</t>
  </si>
  <si>
    <t xml:space="preserve">BM=BM2*sf; </t>
  </si>
  <si>
    <t>Same result as obtained above by superporsition of pure</t>
  </si>
  <si>
    <t>sway solutions due to each load.</t>
  </si>
  <si>
    <t xml:space="preserve">Eccentric downward 8kN load 4m to right of jt. B on </t>
  </si>
  <si>
    <t>member BC.</t>
  </si>
  <si>
    <t>No-sway soln.</t>
  </si>
  <si>
    <t>Vb</t>
  </si>
  <si>
    <t>sway; Use either vertical or inclined roller, or any other dir.</t>
  </si>
  <si>
    <t>Va=-(Mab+Mba)/Lab;</t>
  </si>
  <si>
    <t>Vd=-(Mdc+Mcd)/Lcd;</t>
  </si>
  <si>
    <t>except in direction perpendicular to member whose sway</t>
  </si>
  <si>
    <t>is to be restrained.</t>
  </si>
  <si>
    <t xml:space="preserve">Use roller in vertical or inclined or any other direction, </t>
  </si>
  <si>
    <t>Sway soln.</t>
  </si>
  <si>
    <t>Rx*5*cot_alpha=-(Va+Vd)*(10+5/sin_alpha)+8*1;</t>
  </si>
  <si>
    <t>R*5/sin_alpha=-(Va+Vd)*(10+5/sin_alpha)+8*1;</t>
  </si>
  <si>
    <t xml:space="preserve">BM=BM1+sf*BM2, use BM1 as obtained immediately above, </t>
  </si>
  <si>
    <t>and BM2 from Part2 above.</t>
  </si>
  <si>
    <t>Ex.5</t>
  </si>
  <si>
    <t>Ex.5a</t>
  </si>
  <si>
    <t>Ex5b</t>
  </si>
  <si>
    <t>Ex6</t>
  </si>
  <si>
    <t>de</t>
  </si>
  <si>
    <t>ed</t>
  </si>
  <si>
    <t>summed up to line before last co</t>
  </si>
  <si>
    <t>No sway soln.</t>
  </si>
  <si>
    <t>Ve</t>
  </si>
  <si>
    <t>Na</t>
  </si>
  <si>
    <t>Bx</t>
  </si>
  <si>
    <t>Dx</t>
  </si>
  <si>
    <t>Sway at B only</t>
  </si>
  <si>
    <t>Va1</t>
  </si>
  <si>
    <t>Ve1</t>
  </si>
  <si>
    <t>Va1=-(Mab+Mba)/Lab; Ve1=-(Mde+Med)/Lde;</t>
  </si>
  <si>
    <t>Bx1+Dx1+Va1+Ve1=0;</t>
  </si>
  <si>
    <t>Mab+Med-Na1*40-(Bx1+Dx1)*20=0;</t>
  </si>
  <si>
    <t>Na1</t>
  </si>
  <si>
    <t>Bx1</t>
  </si>
  <si>
    <t>Dx1</t>
  </si>
  <si>
    <t>Sway at C only</t>
  </si>
  <si>
    <t>Va2=-(Mab+Mba)/Lab; Ve2=-(Mde+Med)/Lde;</t>
  </si>
  <si>
    <t>Bx2+Dx2+Va2+Ve2=0;</t>
  </si>
  <si>
    <t>Mab+Med-Na2*40-(Bx2+Dx2)*20=0;</t>
  </si>
  <si>
    <t>BM3</t>
  </si>
  <si>
    <t>Va2</t>
  </si>
  <si>
    <t>Ve2</t>
  </si>
  <si>
    <t>Na2</t>
  </si>
  <si>
    <t>Bx2</t>
  </si>
  <si>
    <t>Dx2</t>
  </si>
  <si>
    <t>sf1</t>
  </si>
  <si>
    <t>sf2</t>
  </si>
  <si>
    <t>BM=BM1+sf1*BM2+sf2*BM3</t>
  </si>
  <si>
    <t>theta_b</t>
  </si>
  <si>
    <t>theta_c</t>
  </si>
  <si>
    <t>theta_d</t>
  </si>
  <si>
    <t>delta_b</t>
  </si>
  <si>
    <t>delta_d</t>
  </si>
  <si>
    <t>psi_ab</t>
  </si>
  <si>
    <t>psi_bc</t>
  </si>
  <si>
    <t>psi_cd</t>
  </si>
  <si>
    <t>psi_de</t>
  </si>
  <si>
    <t>theta_a</t>
  </si>
  <si>
    <t>theta_e</t>
  </si>
  <si>
    <t>Va1*30+Bx1*10-Na1*20+Mab+Mcb=0;</t>
  </si>
  <si>
    <t>Va2*30+Bx2*10-Na2*20+Mab+Mcb=0;</t>
  </si>
  <si>
    <t>stiff and df remain same as in no sway case.</t>
  </si>
  <si>
    <t>Va=-(Mab+Mba-.6*20^2/2)/Lab; Ve=-(Mde+Med)/Lde;</t>
  </si>
  <si>
    <t>Va*30+Bx*10-Na*20-0.6*30^2/2+Mab+Mcb=0;</t>
  </si>
  <si>
    <t>Bx+Dx+Va+Ve-0.6*30=0;</t>
  </si>
  <si>
    <t>Mab+Med-Na*40-(Bx+Dx)*20+0.6*30^2/2=0;</t>
  </si>
  <si>
    <t>(-35.2413)*sf1+28.4438*sf2+10.8197=0</t>
  </si>
  <si>
    <t>28.4438*sf1-35.2413*sf2+0.7799=0</t>
  </si>
  <si>
    <t>Solution from slope deflection method (see deflections on page 19, topic 1 (i.e., SDM)</t>
  </si>
  <si>
    <t>SDM and MDM solutions match!</t>
  </si>
  <si>
    <t>Ex7</t>
  </si>
  <si>
    <t>Mod stiff and Fem's used</t>
  </si>
  <si>
    <t>Med stiff not used. Single step MD.</t>
  </si>
  <si>
    <t>Deal with each part (i.e., AB, BC) separately. Don’t combine at joint B during MD</t>
  </si>
  <si>
    <t>Rl</t>
  </si>
  <si>
    <t>Rr</t>
  </si>
  <si>
    <t xml:space="preserve">Rl=(Mab+100*5)/Lab;  Rr=(-Mcb+10*10^2/2)/Lcb </t>
  </si>
  <si>
    <t>NO SWAY. Restrain each roller using Rl, Rr.</t>
  </si>
  <si>
    <t>SWAY. Apply equal downward sway at B by means of Rlprime and Rrprime</t>
  </si>
  <si>
    <t>Same result as when using mod. Stiff.!</t>
  </si>
  <si>
    <t>Rlprime=-Mab/Lab; Rr=Mcb/Lcb;</t>
  </si>
  <si>
    <t>Rlprime</t>
  </si>
  <si>
    <t>Rrprime</t>
  </si>
  <si>
    <t>sf=(Rl+Rr)/(Rlprime+Rrprime)</t>
  </si>
  <si>
    <t>fem/BM1</t>
  </si>
  <si>
    <t>fem/BM2</t>
  </si>
  <si>
    <t>No MD required, i.e., Fem's are convereged BM1.</t>
  </si>
  <si>
    <t>Mod stiff and Fem used. No MD required, i.e., Fem's are convereged BM2.</t>
  </si>
  <si>
    <t>BM=BM1+sf*BM2</t>
  </si>
  <si>
    <t>Note that scaling each reaction individually (i.e., Rl/Rlprime or Rr/Rrprime)) gives incorrect</t>
  </si>
  <si>
    <t>sf, since that is like solving two independent problems without combining at joint B. So the</t>
  </si>
  <si>
    <t xml:space="preserve">fem entry as well as the way sf is computed, both taken together, implies that the two </t>
  </si>
  <si>
    <t>sub-problems are combined into one problem where joint B is an internal hinge.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</si>
</sst>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46">
      <selection activeCell="A73" sqref="A73"/>
    </sheetView>
  </sheetViews>
  <sheetFormatPr defaultColWidth="9.140625" defaultRowHeight="12.75"/>
  <cols>
    <col min="1" max="5" width="9.140625" style="2" customWidth="1"/>
    <col min="6" max="10" width="9.140625" style="3" customWidth="1"/>
  </cols>
  <sheetData>
    <row r="1" spans="1:6" ht="12.75">
      <c r="A1" s="4" t="s">
        <v>87</v>
      </c>
      <c r="B1" s="4"/>
      <c r="C1" s="4"/>
      <c r="D1" s="4"/>
      <c r="E1" s="4"/>
      <c r="F1" s="4"/>
    </row>
    <row r="2" spans="1:6" ht="12.75">
      <c r="A2" s="2" t="s">
        <v>0</v>
      </c>
      <c r="B2" s="2" t="s">
        <v>1</v>
      </c>
      <c r="D2" s="2" t="s">
        <v>2</v>
      </c>
      <c r="E2" s="2" t="s">
        <v>3</v>
      </c>
      <c r="F2" s="3" t="s">
        <v>12</v>
      </c>
    </row>
    <row r="3" spans="1:6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3" t="s">
        <v>27</v>
      </c>
    </row>
    <row r="4" spans="1:5" ht="12.75">
      <c r="A4" s="2" t="s">
        <v>13</v>
      </c>
      <c r="B4" s="2" t="s">
        <v>4</v>
      </c>
      <c r="C4" s="2" t="s">
        <v>4</v>
      </c>
      <c r="D4" s="2" t="s">
        <v>4</v>
      </c>
      <c r="E4" s="2" t="s">
        <v>4</v>
      </c>
    </row>
    <row r="5" spans="1:5" ht="12.75">
      <c r="A5" s="2" t="s">
        <v>10</v>
      </c>
      <c r="B5" s="2">
        <v>0</v>
      </c>
      <c r="C5" s="2">
        <v>0.5</v>
      </c>
      <c r="D5" s="2">
        <v>0.5</v>
      </c>
      <c r="E5" s="2">
        <v>1</v>
      </c>
    </row>
    <row r="6" spans="1:5" ht="12.75">
      <c r="A6" s="2" t="s">
        <v>11</v>
      </c>
      <c r="B6" s="2">
        <f>-120*36*4/100</f>
        <v>-172.8</v>
      </c>
      <c r="C6" s="2">
        <f>120*16*6/100</f>
        <v>115.2</v>
      </c>
      <c r="D6" s="2">
        <f>-50*100/12</f>
        <v>-416.6666666666667</v>
      </c>
      <c r="E6" s="2">
        <f>50*100/12</f>
        <v>416.6666666666667</v>
      </c>
    </row>
    <row r="7" spans="4:5" ht="12.75">
      <c r="D7" s="2">
        <f>E7/2</f>
        <v>-208.33333333333334</v>
      </c>
      <c r="E7" s="2">
        <f>-E5*E6</f>
        <v>-416.6666666666667</v>
      </c>
    </row>
    <row r="8" spans="2:5" ht="12.75">
      <c r="B8" s="2">
        <f>C8/2</f>
        <v>127.45000000000002</v>
      </c>
      <c r="C8" s="2">
        <f>-C5*(C6+D6+D7)</f>
        <v>254.90000000000003</v>
      </c>
      <c r="D8" s="2">
        <f>-D5*(C6+D6+D7)</f>
        <v>254.90000000000003</v>
      </c>
      <c r="E8" s="2">
        <f>D8/2</f>
        <v>127.45000000000002</v>
      </c>
    </row>
    <row r="9" spans="4:5" ht="12.75">
      <c r="D9" s="2">
        <f>E9/2</f>
        <v>-63.72500000000001</v>
      </c>
      <c r="E9" s="2">
        <f>-E5*E8</f>
        <v>-127.45000000000002</v>
      </c>
    </row>
    <row r="10" spans="2:5" ht="12.75">
      <c r="B10" s="2">
        <f>C10/2</f>
        <v>15.931250000000002</v>
      </c>
      <c r="C10" s="2">
        <f>-C5*D9</f>
        <v>31.862500000000004</v>
      </c>
      <c r="D10" s="2">
        <f>-D5*D9</f>
        <v>31.862500000000004</v>
      </c>
      <c r="E10" s="2">
        <f>D10/2</f>
        <v>15.931250000000002</v>
      </c>
    </row>
    <row r="11" spans="4:5" ht="12.75">
      <c r="D11" s="2">
        <f>E11/2</f>
        <v>-7.965625000000001</v>
      </c>
      <c r="E11" s="2">
        <f>-E5*E10</f>
        <v>-15.931250000000002</v>
      </c>
    </row>
    <row r="12" spans="2:5" ht="12.75">
      <c r="B12" s="2">
        <f>C12/2</f>
        <v>1.9914062500000003</v>
      </c>
      <c r="C12" s="2">
        <f>-C5*D11</f>
        <v>3.9828125000000005</v>
      </c>
      <c r="D12" s="2">
        <f>-D5*D11</f>
        <v>3.9828125000000005</v>
      </c>
      <c r="E12" s="2">
        <f>D12/2</f>
        <v>1.9914062500000003</v>
      </c>
    </row>
    <row r="13" spans="4:5" ht="12.75">
      <c r="D13" s="2">
        <f>E13/2</f>
        <v>-0.9957031250000001</v>
      </c>
      <c r="E13" s="2">
        <f>-E5*E12</f>
        <v>-1.9914062500000003</v>
      </c>
    </row>
    <row r="14" spans="2:5" ht="12.75">
      <c r="B14" s="2">
        <f>C14/2</f>
        <v>0.24892578125000003</v>
      </c>
      <c r="C14" s="2">
        <f>-C5*D13</f>
        <v>0.49785156250000007</v>
      </c>
      <c r="D14" s="2">
        <f>-D5*D13</f>
        <v>0.49785156250000007</v>
      </c>
      <c r="E14" s="2">
        <f>D14/2</f>
        <v>0.24892578125000003</v>
      </c>
    </row>
    <row r="15" spans="4:5" ht="12.75">
      <c r="D15" s="2">
        <f>E15/2</f>
        <v>-0.12446289062500002</v>
      </c>
      <c r="E15" s="2">
        <f>-E14*E5</f>
        <v>-0.24892578125000003</v>
      </c>
    </row>
    <row r="16" spans="2:5" ht="12.75">
      <c r="B16" s="2">
        <f>C16/2</f>
        <v>0.031115722656250004</v>
      </c>
      <c r="C16" s="2">
        <f>-D15*C5</f>
        <v>0.06223144531250001</v>
      </c>
      <c r="D16" s="2">
        <f>-D15*D5</f>
        <v>0.06223144531250001</v>
      </c>
      <c r="E16" s="2">
        <f>D16/2</f>
        <v>0.031115722656250004</v>
      </c>
    </row>
    <row r="17" ht="12.75">
      <c r="E17" s="2">
        <f>-E5*E16</f>
        <v>-0.031115722656250004</v>
      </c>
    </row>
    <row r="18" spans="1:5" ht="12.75">
      <c r="A18" s="2" t="s">
        <v>16</v>
      </c>
      <c r="B18" s="2">
        <f>SUM(B6,B8,B10,B12,B14,B16)</f>
        <v>-27.14730224609374</v>
      </c>
      <c r="C18" s="2">
        <f>SUM(C6,C8,C10,C12,C14,C16)</f>
        <v>406.5053955078125</v>
      </c>
      <c r="D18" s="2">
        <f>SUM(D6:D16)</f>
        <v>-406.50539550781247</v>
      </c>
      <c r="E18" s="2">
        <f>SUM(E6:E17)</f>
        <v>0</v>
      </c>
    </row>
    <row r="19" spans="1:5" ht="12.75">
      <c r="A19" s="15"/>
      <c r="B19" s="15"/>
      <c r="C19" s="15"/>
      <c r="D19" s="15"/>
      <c r="E19" s="15"/>
    </row>
    <row r="20" spans="1:6" ht="12.75">
      <c r="A20" s="4"/>
      <c r="B20" s="4"/>
      <c r="C20" s="4"/>
      <c r="D20" s="4"/>
      <c r="E20" s="4"/>
      <c r="F20" s="3" t="s">
        <v>25</v>
      </c>
    </row>
    <row r="21" spans="1:5" ht="12.75">
      <c r="A21" s="14"/>
      <c r="B21" s="14"/>
      <c r="C21" s="14"/>
      <c r="D21" s="14"/>
      <c r="E21" s="14"/>
    </row>
    <row r="22" spans="1:5" ht="12.75">
      <c r="A22" s="2" t="s">
        <v>0</v>
      </c>
      <c r="B22" s="2" t="s">
        <v>1</v>
      </c>
      <c r="C22" s="8"/>
      <c r="D22" s="10" t="s">
        <v>2</v>
      </c>
      <c r="E22" s="2" t="s">
        <v>3</v>
      </c>
    </row>
    <row r="23" spans="1:6" ht="12.75">
      <c r="A23" s="2" t="s">
        <v>5</v>
      </c>
      <c r="B23" s="2" t="s">
        <v>6</v>
      </c>
      <c r="C23" s="2" t="s">
        <v>7</v>
      </c>
      <c r="D23" s="2" t="s">
        <v>8</v>
      </c>
      <c r="E23" s="2" t="s">
        <v>9</v>
      </c>
      <c r="F23" s="3" t="s">
        <v>20</v>
      </c>
    </row>
    <row r="24" spans="1:6" ht="12.75">
      <c r="A24" s="2" t="s">
        <v>36</v>
      </c>
      <c r="B24" s="2" t="s">
        <v>4</v>
      </c>
      <c r="C24" s="2" t="s">
        <v>4</v>
      </c>
      <c r="D24" s="2" t="s">
        <v>4</v>
      </c>
      <c r="F24" s="3" t="s">
        <v>19</v>
      </c>
    </row>
    <row r="25" spans="1:6" ht="12.75">
      <c r="A25" s="2" t="s">
        <v>35</v>
      </c>
      <c r="B25" s="2" t="s">
        <v>4</v>
      </c>
      <c r="C25" s="2" t="s">
        <v>4</v>
      </c>
      <c r="D25" s="2" t="s">
        <v>14</v>
      </c>
      <c r="F25" s="3" t="s">
        <v>22</v>
      </c>
    </row>
    <row r="26" spans="1:6" ht="12.75">
      <c r="A26" s="2" t="s">
        <v>10</v>
      </c>
      <c r="B26" s="2">
        <v>0</v>
      </c>
      <c r="C26" s="2">
        <f>1/1.75</f>
        <v>0.5714285714285714</v>
      </c>
      <c r="D26" s="2">
        <f>0.75/1.75</f>
        <v>0.42857142857142855</v>
      </c>
      <c r="F26" s="3" t="s">
        <v>24</v>
      </c>
    </row>
    <row r="27" spans="1:6" ht="12.75">
      <c r="A27" s="2" t="s">
        <v>11</v>
      </c>
      <c r="B27" s="2">
        <f>-120*36*4/100</f>
        <v>-172.8</v>
      </c>
      <c r="C27" s="2">
        <f>120*16*6/100</f>
        <v>115.2</v>
      </c>
      <c r="D27" s="2">
        <f>-50*100/8</f>
        <v>-625</v>
      </c>
      <c r="F27" s="3" t="s">
        <v>29</v>
      </c>
    </row>
    <row r="28" spans="2:4" ht="12.75">
      <c r="B28" s="2">
        <f>C28/2</f>
        <v>145.65714285714284</v>
      </c>
      <c r="C28" s="2">
        <f>-C26*(D27+C27)</f>
        <v>291.3142857142857</v>
      </c>
      <c r="D28" s="2">
        <f>-D26*(D27+C27)</f>
        <v>218.48571428571427</v>
      </c>
    </row>
    <row r="29" spans="1:5" ht="12.75">
      <c r="A29" s="2" t="s">
        <v>16</v>
      </c>
      <c r="B29" s="2">
        <f>SUM(B27:B28)</f>
        <v>-27.142857142857167</v>
      </c>
      <c r="C29" s="2">
        <f>SUM(C27:C28)</f>
        <v>406.5142857142857</v>
      </c>
      <c r="D29" s="2">
        <f>SUM(D27:D28)</f>
        <v>-406.51428571428573</v>
      </c>
      <c r="E29" s="2">
        <v>0</v>
      </c>
    </row>
    <row r="30" spans="1:5" ht="12.75">
      <c r="A30" s="15"/>
      <c r="B30" s="15"/>
      <c r="C30" s="15"/>
      <c r="D30" s="15"/>
      <c r="E30" s="15"/>
    </row>
    <row r="31" spans="1:6" ht="12.75">
      <c r="A31" s="4"/>
      <c r="B31" s="4"/>
      <c r="C31" s="4"/>
      <c r="D31" s="4"/>
      <c r="E31" s="4"/>
      <c r="F31" s="3" t="s">
        <v>25</v>
      </c>
    </row>
    <row r="32" spans="1:5" ht="12.75">
      <c r="A32" s="14"/>
      <c r="B32" s="14"/>
      <c r="C32" s="14"/>
      <c r="D32" s="14"/>
      <c r="E32" s="14"/>
    </row>
    <row r="33" spans="1:5" ht="12.75">
      <c r="A33" s="2" t="s">
        <v>0</v>
      </c>
      <c r="B33" s="2" t="s">
        <v>1</v>
      </c>
      <c r="C33" s="8"/>
      <c r="D33" s="10" t="s">
        <v>2</v>
      </c>
      <c r="E33" s="2" t="s">
        <v>3</v>
      </c>
    </row>
    <row r="34" spans="1:8" ht="12.75">
      <c r="A34" s="2" t="s">
        <v>5</v>
      </c>
      <c r="B34" s="2" t="s">
        <v>6</v>
      </c>
      <c r="C34" s="2" t="s">
        <v>7</v>
      </c>
      <c r="D34" s="2" t="s">
        <v>8</v>
      </c>
      <c r="E34" s="2" t="s">
        <v>9</v>
      </c>
      <c r="F34" s="3" t="s">
        <v>21</v>
      </c>
      <c r="H34" s="3" t="s">
        <v>61</v>
      </c>
    </row>
    <row r="35" spans="1:6" ht="12.75">
      <c r="A35" s="2" t="s">
        <v>13</v>
      </c>
      <c r="B35" s="2" t="s">
        <v>4</v>
      </c>
      <c r="C35" s="2" t="s">
        <v>4</v>
      </c>
      <c r="D35" s="2" t="s">
        <v>4</v>
      </c>
      <c r="E35" s="2" t="s">
        <v>4</v>
      </c>
      <c r="F35" s="3" t="s">
        <v>30</v>
      </c>
    </row>
    <row r="36" spans="1:6" ht="12.75">
      <c r="A36" s="2" t="s">
        <v>35</v>
      </c>
      <c r="B36" s="2" t="s">
        <v>4</v>
      </c>
      <c r="C36" s="2" t="s">
        <v>4</v>
      </c>
      <c r="D36" s="2" t="s">
        <v>14</v>
      </c>
      <c r="E36" s="2" t="s">
        <v>4</v>
      </c>
      <c r="F36" s="3" t="s">
        <v>73</v>
      </c>
    </row>
    <row r="37" spans="1:6" ht="12.75">
      <c r="A37" s="2" t="s">
        <v>10</v>
      </c>
      <c r="B37" s="2">
        <v>0</v>
      </c>
      <c r="C37" s="2">
        <f>1/1.75</f>
        <v>0.5714285714285714</v>
      </c>
      <c r="D37" s="2">
        <f>0.75/1.75</f>
        <v>0.42857142857142855</v>
      </c>
      <c r="E37" s="2">
        <f>1</f>
        <v>1</v>
      </c>
      <c r="F37" s="3" t="s">
        <v>23</v>
      </c>
    </row>
    <row r="38" spans="1:6" ht="12.75">
      <c r="A38" s="2" t="s">
        <v>11</v>
      </c>
      <c r="B38" s="2">
        <f>-120*36*4/100</f>
        <v>-172.8</v>
      </c>
      <c r="C38" s="2">
        <f>120*16*6/100</f>
        <v>115.2</v>
      </c>
      <c r="D38" s="2">
        <f>-50*100/12</f>
        <v>-416.6666666666667</v>
      </c>
      <c r="E38" s="2">
        <f>50*100/12</f>
        <v>416.6666666666667</v>
      </c>
      <c r="F38" s="3" t="s">
        <v>24</v>
      </c>
    </row>
    <row r="39" spans="4:5" ht="12.75">
      <c r="D39" s="2">
        <f>E39/2</f>
        <v>-208.33333333333334</v>
      </c>
      <c r="E39" s="2">
        <f>-E37*E38</f>
        <v>-416.6666666666667</v>
      </c>
    </row>
    <row r="40" spans="2:4" ht="12.75">
      <c r="B40" s="2">
        <f>C40/2</f>
        <v>145.65714285714287</v>
      </c>
      <c r="C40" s="2">
        <f>-C37*SUM(C38,D38,D39)</f>
        <v>291.31428571428575</v>
      </c>
      <c r="D40" s="2">
        <f>-D37*SUM(C38,D38,D39)</f>
        <v>218.4857142857143</v>
      </c>
    </row>
    <row r="41" spans="1:5" ht="12.75">
      <c r="A41" s="2" t="s">
        <v>16</v>
      </c>
      <c r="B41" s="2">
        <f>SUM(B38,B40)</f>
        <v>-27.14285714285714</v>
      </c>
      <c r="C41" s="2">
        <f>SUM(C38,C40)</f>
        <v>406.51428571428573</v>
      </c>
      <c r="D41" s="2">
        <f>SUM(D38:D40)</f>
        <v>-406.51428571428573</v>
      </c>
      <c r="E41" s="2">
        <f>SUM(E38:E40)</f>
        <v>0</v>
      </c>
    </row>
    <row r="42" spans="1:5" ht="12.75">
      <c r="A42" s="15"/>
      <c r="B42" s="15"/>
      <c r="C42" s="15"/>
      <c r="D42" s="15"/>
      <c r="E42" s="15"/>
    </row>
    <row r="43" spans="1:6" ht="12.75">
      <c r="A43" s="4"/>
      <c r="B43" s="4"/>
      <c r="C43" s="4"/>
      <c r="D43" s="4"/>
      <c r="E43" s="4"/>
      <c r="F43" s="3" t="s">
        <v>28</v>
      </c>
    </row>
    <row r="44" spans="1:5" ht="12.75">
      <c r="A44" s="14"/>
      <c r="B44" s="14"/>
      <c r="C44" s="14"/>
      <c r="D44" s="14"/>
      <c r="E44" s="14"/>
    </row>
    <row r="45" spans="1:6" ht="12.75">
      <c r="A45" s="2" t="s">
        <v>0</v>
      </c>
      <c r="B45" s="2" t="s">
        <v>1</v>
      </c>
      <c r="C45" s="8"/>
      <c r="D45" s="10" t="s">
        <v>2</v>
      </c>
      <c r="E45" s="2" t="s">
        <v>3</v>
      </c>
      <c r="F45" s="3" t="s">
        <v>26</v>
      </c>
    </row>
    <row r="46" spans="1:6" ht="12.75">
      <c r="A46" s="2" t="s">
        <v>5</v>
      </c>
      <c r="B46" s="2" t="s">
        <v>6</v>
      </c>
      <c r="C46" s="2" t="s">
        <v>7</v>
      </c>
      <c r="D46" s="2" t="s">
        <v>8</v>
      </c>
      <c r="E46" s="2" t="s">
        <v>9</v>
      </c>
      <c r="F46" s="3" t="s">
        <v>62</v>
      </c>
    </row>
    <row r="47" spans="1:5" ht="12.75">
      <c r="A47" s="2" t="s">
        <v>13</v>
      </c>
      <c r="B47" s="2" t="s">
        <v>4</v>
      </c>
      <c r="C47" s="2" t="s">
        <v>4</v>
      </c>
      <c r="D47" s="2" t="s">
        <v>4</v>
      </c>
      <c r="E47" s="2" t="s">
        <v>4</v>
      </c>
    </row>
    <row r="48" spans="1:5" ht="12.75">
      <c r="A48" s="2" t="s">
        <v>10</v>
      </c>
      <c r="B48" s="2">
        <v>0</v>
      </c>
      <c r="C48" s="2">
        <v>0.5</v>
      </c>
      <c r="D48" s="2">
        <v>0.5</v>
      </c>
      <c r="E48" s="2">
        <v>1</v>
      </c>
    </row>
    <row r="49" spans="1:5" ht="12.75">
      <c r="A49" s="2" t="s">
        <v>11</v>
      </c>
      <c r="B49" s="2">
        <f>-120*36*4/100</f>
        <v>-172.8</v>
      </c>
      <c r="C49" s="2">
        <f>120*16*6/100</f>
        <v>115.2</v>
      </c>
      <c r="D49" s="2">
        <f>-50*100/12</f>
        <v>-416.6666666666667</v>
      </c>
      <c r="E49" s="2">
        <f>50*100/12</f>
        <v>416.6666666666667</v>
      </c>
    </row>
    <row r="50" spans="1:5" ht="12.75">
      <c r="A50" s="2" t="s">
        <v>17</v>
      </c>
      <c r="C50" s="2">
        <f>-C48*SUM(C49:D49)</f>
        <v>150.73333333333335</v>
      </c>
      <c r="D50" s="2">
        <f>-D48*SUM(C49:D49)</f>
        <v>150.73333333333335</v>
      </c>
      <c r="E50" s="2">
        <f>-E48*E49</f>
        <v>-416.6666666666667</v>
      </c>
    </row>
    <row r="51" spans="1:5" ht="12.75">
      <c r="A51" s="2" t="s">
        <v>18</v>
      </c>
      <c r="B51" s="2">
        <f>C50/2</f>
        <v>75.36666666666667</v>
      </c>
      <c r="D51" s="2">
        <f>E50/2</f>
        <v>-208.33333333333334</v>
      </c>
      <c r="E51" s="2">
        <f>D50/2</f>
        <v>75.36666666666667</v>
      </c>
    </row>
    <row r="52" spans="1:5" ht="12.75">
      <c r="A52" s="2" t="s">
        <v>17</v>
      </c>
      <c r="C52" s="2">
        <f>-C48*SUM(C51:D51)</f>
        <v>104.16666666666667</v>
      </c>
      <c r="D52" s="2">
        <f>-D48*SUM(C51:D51)</f>
        <v>104.16666666666667</v>
      </c>
      <c r="E52" s="2">
        <f>-E48*E51</f>
        <v>-75.36666666666667</v>
      </c>
    </row>
    <row r="53" spans="1:5" ht="12.75">
      <c r="A53" s="2" t="s">
        <v>18</v>
      </c>
      <c r="B53" s="2">
        <f>C52/2</f>
        <v>52.083333333333336</v>
      </c>
      <c r="D53" s="2">
        <f>E52/2</f>
        <v>-37.68333333333334</v>
      </c>
      <c r="E53" s="2">
        <f>D52/2</f>
        <v>52.083333333333336</v>
      </c>
    </row>
    <row r="54" spans="1:5" ht="12.75">
      <c r="A54" s="2" t="s">
        <v>17</v>
      </c>
      <c r="C54" s="2">
        <f>-C48*SUM(C53:D53)</f>
        <v>18.84166666666667</v>
      </c>
      <c r="D54" s="2">
        <f>-D48*SUM(C53:D53)</f>
        <v>18.84166666666667</v>
      </c>
      <c r="E54" s="2">
        <f>-E48*E53</f>
        <v>-52.083333333333336</v>
      </c>
    </row>
    <row r="55" spans="1:5" ht="12.75">
      <c r="A55" s="2" t="s">
        <v>18</v>
      </c>
      <c r="B55" s="2">
        <f>C54/2</f>
        <v>9.420833333333334</v>
      </c>
      <c r="D55" s="2">
        <f>E54/2</f>
        <v>-26.041666666666668</v>
      </c>
      <c r="E55" s="2">
        <f>D54/2</f>
        <v>9.420833333333334</v>
      </c>
    </row>
    <row r="56" spans="1:5" ht="12.75">
      <c r="A56" s="2" t="s">
        <v>17</v>
      </c>
      <c r="C56" s="2">
        <f>-C48*SUM(C55:D55)</f>
        <v>13.020833333333334</v>
      </c>
      <c r="D56" s="2">
        <f>-D48*SUM(C55:D55)</f>
        <v>13.020833333333334</v>
      </c>
      <c r="E56" s="2">
        <f>-E48*E55</f>
        <v>-9.420833333333334</v>
      </c>
    </row>
    <row r="57" spans="1:5" ht="12.75">
      <c r="A57" s="2" t="s">
        <v>18</v>
      </c>
      <c r="B57" s="2">
        <f>C56/2</f>
        <v>6.510416666666667</v>
      </c>
      <c r="D57" s="2">
        <f>E56/2</f>
        <v>-4.710416666666667</v>
      </c>
      <c r="E57" s="2">
        <f>D56/2</f>
        <v>6.510416666666667</v>
      </c>
    </row>
    <row r="58" spans="1:5" ht="12.75">
      <c r="A58" s="2" t="s">
        <v>17</v>
      </c>
      <c r="C58" s="2">
        <f>-C48*SUM(C57:D57)</f>
        <v>2.3552083333333336</v>
      </c>
      <c r="D58" s="2">
        <f>-D48*SUM(C57:D57)</f>
        <v>2.3552083333333336</v>
      </c>
      <c r="E58" s="2">
        <f>-E48*E57</f>
        <v>-6.510416666666667</v>
      </c>
    </row>
    <row r="59" spans="1:5" ht="12.75">
      <c r="A59" s="2" t="s">
        <v>18</v>
      </c>
      <c r="B59" s="2">
        <f>C58/2</f>
        <v>1.1776041666666668</v>
      </c>
      <c r="D59" s="2">
        <f>E58/2</f>
        <v>-3.2552083333333335</v>
      </c>
      <c r="E59" s="2">
        <f>D58/2</f>
        <v>1.1776041666666668</v>
      </c>
    </row>
    <row r="60" spans="1:5" ht="12.75">
      <c r="A60" s="2" t="s">
        <v>17</v>
      </c>
      <c r="C60" s="2">
        <f>-C48*SUM(C59:D59)</f>
        <v>1.6276041666666667</v>
      </c>
      <c r="D60" s="2">
        <f>-D48*SUM(C59:D59)</f>
        <v>1.6276041666666667</v>
      </c>
      <c r="E60" s="2">
        <f>-E48*E59</f>
        <v>-1.1776041666666668</v>
      </c>
    </row>
    <row r="61" spans="1:5" ht="12.75">
      <c r="A61" s="2" t="s">
        <v>18</v>
      </c>
      <c r="B61" s="2">
        <f>C60/2</f>
        <v>0.8138020833333334</v>
      </c>
      <c r="D61" s="2">
        <f>E60/2</f>
        <v>-0.5888020833333334</v>
      </c>
      <c r="E61" s="2">
        <f>D60/2</f>
        <v>0.8138020833333334</v>
      </c>
    </row>
    <row r="62" spans="1:5" ht="12.75">
      <c r="A62" s="2" t="s">
        <v>17</v>
      </c>
      <c r="C62" s="2">
        <f>-C48*SUM(C61:D61)</f>
        <v>0.2944010416666667</v>
      </c>
      <c r="D62" s="2">
        <f>-D48*SUM(C61:D61)</f>
        <v>0.2944010416666667</v>
      </c>
      <c r="E62" s="2">
        <f>-E48*E61</f>
        <v>-0.8138020833333334</v>
      </c>
    </row>
    <row r="63" spans="1:5" ht="12.75">
      <c r="A63" s="2" t="s">
        <v>18</v>
      </c>
      <c r="B63" s="2">
        <f>C62/2</f>
        <v>0.14720052083333335</v>
      </c>
      <c r="D63" s="2">
        <f>E62/2</f>
        <v>-0.4069010416666667</v>
      </c>
      <c r="E63" s="2">
        <f>D62/2</f>
        <v>0.14720052083333335</v>
      </c>
    </row>
    <row r="64" spans="3:5" ht="12.75">
      <c r="C64" s="2">
        <f>-C48*SUM(C63:D63)</f>
        <v>0.20345052083333334</v>
      </c>
      <c r="D64" s="2">
        <f>-D48*SUM(C63:D63)</f>
        <v>0.20345052083333334</v>
      </c>
      <c r="E64" s="2">
        <f>-E48*E63</f>
        <v>-0.14720052083333335</v>
      </c>
    </row>
    <row r="65" spans="2:5" ht="12.75">
      <c r="B65" s="2">
        <f>C64/2</f>
        <v>0.10172526041666667</v>
      </c>
      <c r="D65" s="2">
        <f>E64/2</f>
        <v>-0.07360026041666667</v>
      </c>
      <c r="E65" s="2">
        <f>D64/2</f>
        <v>0.10172526041666667</v>
      </c>
    </row>
    <row r="66" spans="3:5" ht="12.75">
      <c r="C66" s="2">
        <f>-C48*SUM(C65:D65)</f>
        <v>0.03680013020833334</v>
      </c>
      <c r="D66" s="2">
        <f>-D48*SUM(C65:D65)</f>
        <v>0.03680013020833334</v>
      </c>
      <c r="E66" s="2">
        <f>-E48*E65</f>
        <v>-0.10172526041666667</v>
      </c>
    </row>
    <row r="67" spans="1:5" ht="12.75">
      <c r="A67" s="2" t="s">
        <v>16</v>
      </c>
      <c r="B67" s="2">
        <f>SUM(B49:B66)</f>
        <v>-27.17841796875</v>
      </c>
      <c r="C67" s="2">
        <f>SUM(C49:C66)</f>
        <v>406.4799641927084</v>
      </c>
      <c r="D67" s="2">
        <f>SUM(D49:D66)</f>
        <v>-406.4799641927083</v>
      </c>
      <c r="E67" s="2">
        <f>SUM(E49:E66)</f>
        <v>0</v>
      </c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 t="s">
        <v>88</v>
      </c>
      <c r="B73" s="3"/>
      <c r="C73" s="3"/>
      <c r="D73" s="3"/>
      <c r="E73" s="3"/>
    </row>
    <row r="74" spans="1:6" ht="12.75">
      <c r="A74" s="3"/>
      <c r="B74" s="3"/>
      <c r="C74" s="3"/>
      <c r="D74" s="3"/>
      <c r="E74" s="3"/>
      <c r="F74" s="3" t="s">
        <v>25</v>
      </c>
    </row>
    <row r="75" spans="1:5" ht="12.75">
      <c r="A75" s="3"/>
      <c r="B75" s="3"/>
      <c r="C75" s="3"/>
      <c r="D75" s="3"/>
      <c r="E75" s="3"/>
    </row>
    <row r="76" spans="1:6" ht="12.75">
      <c r="A76" s="2" t="s">
        <v>0</v>
      </c>
      <c r="B76" s="2" t="s">
        <v>1</v>
      </c>
      <c r="C76" s="8"/>
      <c r="D76" s="10" t="s">
        <v>2</v>
      </c>
      <c r="E76" s="4"/>
      <c r="F76" s="3" t="s">
        <v>33</v>
      </c>
    </row>
    <row r="77" spans="1:6" ht="12.75">
      <c r="A77" s="2" t="s">
        <v>5</v>
      </c>
      <c r="B77" s="2" t="s">
        <v>6</v>
      </c>
      <c r="C77" s="2" t="s">
        <v>7</v>
      </c>
      <c r="D77" s="2" t="s">
        <v>8</v>
      </c>
      <c r="E77" s="4"/>
      <c r="F77" s="3" t="s">
        <v>34</v>
      </c>
    </row>
    <row r="78" spans="1:5" ht="12.75">
      <c r="A78" s="2" t="s">
        <v>13</v>
      </c>
      <c r="B78" s="2" t="s">
        <v>4</v>
      </c>
      <c r="C78" s="2" t="s">
        <v>4</v>
      </c>
      <c r="D78" s="2" t="s">
        <v>14</v>
      </c>
      <c r="E78" s="4"/>
    </row>
    <row r="79" spans="1:6" ht="12.75">
      <c r="A79" s="2" t="s">
        <v>35</v>
      </c>
      <c r="B79" s="2" t="s">
        <v>4</v>
      </c>
      <c r="C79" s="2" t="s">
        <v>14</v>
      </c>
      <c r="D79" s="2" t="s">
        <v>32</v>
      </c>
      <c r="E79" s="4"/>
      <c r="F79" s="3" t="s">
        <v>37</v>
      </c>
    </row>
    <row r="80" spans="1:6" ht="12.75">
      <c r="A80" s="2" t="s">
        <v>10</v>
      </c>
      <c r="B80" s="2">
        <v>1</v>
      </c>
      <c r="C80" s="2">
        <f>0.75/(0.375+0.75)</f>
        <v>0.6666666666666666</v>
      </c>
      <c r="D80" s="2">
        <f>0.375/(0.375+0.75)</f>
        <v>0.3333333333333333</v>
      </c>
      <c r="E80" s="4"/>
      <c r="F80" s="3" t="s">
        <v>38</v>
      </c>
    </row>
    <row r="81" spans="1:6" ht="12.75">
      <c r="A81" s="2" t="s">
        <v>11</v>
      </c>
      <c r="B81" s="2">
        <v>0</v>
      </c>
      <c r="C81" s="2">
        <f>40/30^2*(15^2*15+15^2*15/2)</f>
        <v>225</v>
      </c>
      <c r="D81" s="2">
        <f>-2.4*40^2/12</f>
        <v>-320</v>
      </c>
      <c r="E81" s="4"/>
      <c r="F81" s="3" t="s">
        <v>22</v>
      </c>
    </row>
    <row r="82" spans="3:6" ht="12.75">
      <c r="C82" s="2">
        <f>-C80*(C81+D81)</f>
        <v>63.33333333333333</v>
      </c>
      <c r="D82" s="2">
        <f>-D80*(D81+C81)</f>
        <v>31.666666666666664</v>
      </c>
      <c r="E82" s="4"/>
      <c r="F82" s="3" t="s">
        <v>39</v>
      </c>
    </row>
    <row r="83" spans="1:6" ht="12.75">
      <c r="A83" s="2" t="s">
        <v>16</v>
      </c>
      <c r="B83" s="2">
        <v>0</v>
      </c>
      <c r="C83" s="2">
        <f>SUM(C81:C82)</f>
        <v>288.3333333333333</v>
      </c>
      <c r="D83" s="2">
        <f>SUM(D81:D82)</f>
        <v>-288.3333333333333</v>
      </c>
      <c r="E83" s="4"/>
      <c r="F83" s="3" t="s">
        <v>29</v>
      </c>
    </row>
    <row r="84" ht="12.75">
      <c r="E84" s="4"/>
    </row>
    <row r="85" spans="5:6" ht="12.75">
      <c r="E85" s="4"/>
      <c r="F85" s="3" t="s">
        <v>25</v>
      </c>
    </row>
    <row r="86" ht="12.75">
      <c r="E86" s="4"/>
    </row>
    <row r="87" spans="1:6" ht="12.75">
      <c r="A87" s="2" t="s">
        <v>0</v>
      </c>
      <c r="B87" s="2" t="s">
        <v>1</v>
      </c>
      <c r="C87" s="8"/>
      <c r="D87" s="10" t="s">
        <v>2</v>
      </c>
      <c r="E87" s="4"/>
      <c r="F87" s="3" t="s">
        <v>21</v>
      </c>
    </row>
    <row r="88" spans="1:6" ht="12.75">
      <c r="A88" s="2" t="s">
        <v>5</v>
      </c>
      <c r="B88" s="2" t="s">
        <v>6</v>
      </c>
      <c r="C88" s="2" t="s">
        <v>7</v>
      </c>
      <c r="D88" s="2" t="s">
        <v>8</v>
      </c>
      <c r="E88" s="4"/>
      <c r="F88" s="3" t="s">
        <v>15</v>
      </c>
    </row>
    <row r="89" spans="1:6" ht="12.75">
      <c r="A89" s="2" t="s">
        <v>13</v>
      </c>
      <c r="B89" s="2" t="s">
        <v>4</v>
      </c>
      <c r="C89" s="2" t="s">
        <v>4</v>
      </c>
      <c r="D89" s="2" t="s">
        <v>14</v>
      </c>
      <c r="E89" s="4"/>
      <c r="F89" s="3" t="s">
        <v>30</v>
      </c>
    </row>
    <row r="90" spans="1:6" ht="12.75">
      <c r="A90" s="2" t="s">
        <v>35</v>
      </c>
      <c r="B90" s="2" t="s">
        <v>4</v>
      </c>
      <c r="C90" s="2" t="s">
        <v>14</v>
      </c>
      <c r="D90" s="2" t="s">
        <v>32</v>
      </c>
      <c r="E90" s="4"/>
      <c r="F90" s="3" t="s">
        <v>31</v>
      </c>
    </row>
    <row r="91" spans="1:6" ht="12.75">
      <c r="A91" s="2" t="s">
        <v>10</v>
      </c>
      <c r="B91" s="2">
        <v>1</v>
      </c>
      <c r="C91" s="2">
        <f>0.75/(0.75+0.375)</f>
        <v>0.6666666666666666</v>
      </c>
      <c r="D91" s="2">
        <f>0.375/(0.375+0.75)</f>
        <v>0.3333333333333333</v>
      </c>
      <c r="E91" s="4"/>
      <c r="F91" s="3" t="s">
        <v>23</v>
      </c>
    </row>
    <row r="92" spans="1:6" ht="12.75">
      <c r="A92" s="2" t="s">
        <v>11</v>
      </c>
      <c r="B92" s="2">
        <f>-40*15^2*15/30^2</f>
        <v>-150</v>
      </c>
      <c r="C92" s="2">
        <f>40*15^2*15/30^2</f>
        <v>150</v>
      </c>
      <c r="D92" s="2">
        <f>-2.4*40^2/12</f>
        <v>-320</v>
      </c>
      <c r="E92" s="4"/>
      <c r="F92" s="3" t="s">
        <v>40</v>
      </c>
    </row>
    <row r="93" spans="2:6" ht="12.75">
      <c r="B93" s="2">
        <f>-B91*B92</f>
        <v>150</v>
      </c>
      <c r="C93" s="2">
        <f>B93/2</f>
        <v>75</v>
      </c>
      <c r="E93" s="4"/>
      <c r="F93" s="3" t="s">
        <v>41</v>
      </c>
    </row>
    <row r="94" spans="3:5" ht="12.75">
      <c r="C94" s="2">
        <f>-C91*SUM(C92,D92,C93)</f>
        <v>63.33333333333333</v>
      </c>
      <c r="D94" s="2">
        <f>-D91*SUM(C92,D92,C93)</f>
        <v>31.666666666666664</v>
      </c>
      <c r="E94" s="4"/>
    </row>
    <row r="95" spans="1:5" ht="12.75">
      <c r="A95" s="2" t="s">
        <v>16</v>
      </c>
      <c r="B95" s="2">
        <f>SUM(B92:B94)</f>
        <v>0</v>
      </c>
      <c r="C95" s="2">
        <f>SUM(C92:C94)</f>
        <v>288.3333333333333</v>
      </c>
      <c r="D95" s="2">
        <f>SUM(D92:D94)</f>
        <v>-288.3333333333333</v>
      </c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</sheetData>
  <printOptions/>
  <pageMargins left="0.4724409448818898" right="0.472440944881889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5"/>
  <sheetViews>
    <sheetView tabSelected="1" workbookViewId="0" topLeftCell="A467">
      <selection activeCell="I492" sqref="I492"/>
    </sheetView>
  </sheetViews>
  <sheetFormatPr defaultColWidth="9.140625" defaultRowHeight="12.75"/>
  <cols>
    <col min="1" max="11" width="9.140625" style="2" customWidth="1"/>
    <col min="12" max="14" width="9.140625" style="1" customWidth="1"/>
  </cols>
  <sheetData>
    <row r="1" spans="1:11" ht="12.75">
      <c r="A1" s="4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2.75">
      <c r="A2" s="2" t="s">
        <v>0</v>
      </c>
      <c r="B2" s="2" t="s">
        <v>1</v>
      </c>
      <c r="D2" s="2" t="s">
        <v>2</v>
      </c>
      <c r="F2" s="6"/>
      <c r="G2" s="6" t="s">
        <v>3</v>
      </c>
      <c r="H2" s="6"/>
      <c r="I2" s="6" t="s">
        <v>42</v>
      </c>
      <c r="J2" s="6" t="s">
        <v>43</v>
      </c>
      <c r="K2" s="6" t="s">
        <v>44</v>
      </c>
      <c r="L2" s="3" t="s">
        <v>68</v>
      </c>
    </row>
    <row r="3" spans="1:12" ht="12.75">
      <c r="A3" s="2" t="s">
        <v>5</v>
      </c>
      <c r="B3" s="2" t="s">
        <v>6</v>
      </c>
      <c r="C3" s="2" t="s">
        <v>7</v>
      </c>
      <c r="D3" s="2" t="s">
        <v>45</v>
      </c>
      <c r="E3" s="2" t="s">
        <v>8</v>
      </c>
      <c r="F3" s="2" t="s">
        <v>9</v>
      </c>
      <c r="G3" s="2" t="s">
        <v>47</v>
      </c>
      <c r="H3" s="2" t="s">
        <v>46</v>
      </c>
      <c r="I3" s="2" t="s">
        <v>48</v>
      </c>
      <c r="J3" s="2" t="s">
        <v>49</v>
      </c>
      <c r="K3" s="2" t="s">
        <v>50</v>
      </c>
      <c r="L3" s="5" t="s">
        <v>67</v>
      </c>
    </row>
    <row r="4" spans="1:16" ht="12.75">
      <c r="A4" s="2" t="s">
        <v>13</v>
      </c>
      <c r="B4" s="2" t="s">
        <v>4</v>
      </c>
      <c r="C4" s="2" t="s">
        <v>4</v>
      </c>
      <c r="D4" s="2" t="s">
        <v>51</v>
      </c>
      <c r="E4" s="2" t="s">
        <v>4</v>
      </c>
      <c r="F4" s="2" t="s">
        <v>4</v>
      </c>
      <c r="G4" s="2" t="s">
        <v>51</v>
      </c>
      <c r="H4" s="2" t="s">
        <v>4</v>
      </c>
      <c r="I4" s="2" t="s">
        <v>4</v>
      </c>
      <c r="J4" s="2" t="s">
        <v>53</v>
      </c>
      <c r="K4" s="2" t="s">
        <v>53</v>
      </c>
      <c r="L4" s="3" t="s">
        <v>55</v>
      </c>
      <c r="M4" s="3"/>
      <c r="N4" s="3"/>
      <c r="O4" s="3"/>
      <c r="P4" s="3"/>
    </row>
    <row r="5" spans="1:16" ht="12.75">
      <c r="A5" s="2" t="s">
        <v>35</v>
      </c>
      <c r="B5" s="2" t="s">
        <v>4</v>
      </c>
      <c r="C5" s="2" t="s">
        <v>52</v>
      </c>
      <c r="D5" s="2" t="s">
        <v>51</v>
      </c>
      <c r="E5" s="2" t="s">
        <v>4</v>
      </c>
      <c r="F5" s="2" t="s">
        <v>4</v>
      </c>
      <c r="G5" s="2" t="s">
        <v>51</v>
      </c>
      <c r="H5" s="2" t="s">
        <v>52</v>
      </c>
      <c r="I5" s="2" t="s">
        <v>4</v>
      </c>
      <c r="J5" s="2" t="s">
        <v>53</v>
      </c>
      <c r="K5" s="2" t="s">
        <v>53</v>
      </c>
      <c r="L5" s="3" t="s">
        <v>58</v>
      </c>
      <c r="M5" s="3"/>
      <c r="N5" s="3"/>
      <c r="O5" s="3"/>
      <c r="P5" s="3"/>
    </row>
    <row r="6" spans="1:16" ht="12.75">
      <c r="A6" s="2" t="s">
        <v>10</v>
      </c>
      <c r="B6" s="2">
        <v>1</v>
      </c>
      <c r="C6" s="2">
        <f>0.75/(0.75+1+1.5)</f>
        <v>0.23076923076923078</v>
      </c>
      <c r="D6" s="2">
        <f>1.5/(0.75+1+1.5)</f>
        <v>0.46153846153846156</v>
      </c>
      <c r="E6" s="2">
        <f>1/(0.75+1+1.5)</f>
        <v>0.3076923076923077</v>
      </c>
      <c r="F6" s="2">
        <f>1/(0.75+1+1.5)</f>
        <v>0.3076923076923077</v>
      </c>
      <c r="G6" s="2">
        <f>1.5/(0.75+1+1.5)</f>
        <v>0.46153846153846156</v>
      </c>
      <c r="H6" s="2">
        <f>0.75/(0.75+1+1.5)</f>
        <v>0.23076923076923078</v>
      </c>
      <c r="I6" s="2">
        <v>1</v>
      </c>
      <c r="J6" s="2">
        <v>0</v>
      </c>
      <c r="K6" s="2">
        <v>0</v>
      </c>
      <c r="L6" s="3" t="s">
        <v>59</v>
      </c>
      <c r="M6" s="3"/>
      <c r="N6" s="3"/>
      <c r="O6" s="3"/>
      <c r="P6" s="3"/>
    </row>
    <row r="7" spans="1:16" ht="12.75">
      <c r="A7" s="2" t="s">
        <v>11</v>
      </c>
      <c r="B7" s="2">
        <v>0</v>
      </c>
      <c r="C7" s="2">
        <v>0</v>
      </c>
      <c r="D7" s="2">
        <f>-10*20/8</f>
        <v>-25</v>
      </c>
      <c r="E7" s="2">
        <f>-10*20^2*10/30^2</f>
        <v>-44.44444444444444</v>
      </c>
      <c r="F7" s="2">
        <f>10*20*10^2/30^2</f>
        <v>22.22222222222222</v>
      </c>
      <c r="G7" s="2">
        <v>0</v>
      </c>
      <c r="H7" s="2">
        <f>-1.2*30^2/8</f>
        <v>-135</v>
      </c>
      <c r="I7" s="2">
        <f>0</f>
        <v>0</v>
      </c>
      <c r="J7" s="2">
        <f>10*20/8</f>
        <v>25</v>
      </c>
      <c r="K7" s="2">
        <v>0</v>
      </c>
      <c r="L7" s="3" t="s">
        <v>56</v>
      </c>
      <c r="O7" s="3"/>
      <c r="P7" s="3"/>
    </row>
    <row r="8" spans="3:16" ht="12.75">
      <c r="C8" s="2">
        <f>-C6*SUM(C7:E7)</f>
        <v>16.025641025641026</v>
      </c>
      <c r="D8" s="2">
        <f>-D6*SUM(C7:E7)</f>
        <v>32.05128205128205</v>
      </c>
      <c r="E8" s="2">
        <f>-E6*SUM(C7:E7)</f>
        <v>21.36752136752137</v>
      </c>
      <c r="F8" s="2">
        <f>E8/2</f>
        <v>10.683760683760685</v>
      </c>
      <c r="J8" s="2">
        <f>D8/2</f>
        <v>16.025641025641026</v>
      </c>
      <c r="L8" s="3" t="s">
        <v>57</v>
      </c>
      <c r="O8" s="3"/>
      <c r="P8" s="3"/>
    </row>
    <row r="9" spans="5:12" ht="12.75">
      <c r="E9" s="2">
        <f>F9/2</f>
        <v>15.706771860618014</v>
      </c>
      <c r="F9" s="2">
        <f>-F6*SUM(F7,G7,H7,F8)</f>
        <v>31.413543721236028</v>
      </c>
      <c r="G9" s="2">
        <f>-G6*SUM(F7,G7,H7,F8)</f>
        <v>47.120315581854044</v>
      </c>
      <c r="H9" s="2">
        <f>-H6*SUM(F7,G7,H7,F8)</f>
        <v>23.560157790927022</v>
      </c>
      <c r="K9" s="2">
        <f>G9/2</f>
        <v>23.560157790927022</v>
      </c>
      <c r="L9" s="3" t="s">
        <v>60</v>
      </c>
    </row>
    <row r="10" spans="3:10" ht="12.75">
      <c r="C10" s="2">
        <f>-C6*(E9)</f>
        <v>-3.624639660142619</v>
      </c>
      <c r="D10" s="2">
        <f>-D6*E9</f>
        <v>-7.249279320285238</v>
      </c>
      <c r="E10" s="2">
        <f>-E6*E9</f>
        <v>-4.832852880190158</v>
      </c>
      <c r="F10" s="2">
        <f>E10/2</f>
        <v>-2.416426440095079</v>
      </c>
      <c r="J10" s="2">
        <f>D10/2</f>
        <v>-3.624639660142619</v>
      </c>
    </row>
    <row r="11" spans="5:11" ht="12.75">
      <c r="E11" s="2">
        <f>F11/2</f>
        <v>0.3717579138607814</v>
      </c>
      <c r="F11" s="2">
        <f>-F6*F10</f>
        <v>0.7435158277215628</v>
      </c>
      <c r="G11" s="2">
        <f>-G6*F10</f>
        <v>1.1152737415823442</v>
      </c>
      <c r="H11" s="2">
        <f>-H6*F10</f>
        <v>0.5576368707911721</v>
      </c>
      <c r="K11" s="2">
        <f>G11/2</f>
        <v>0.5576368707911721</v>
      </c>
    </row>
    <row r="12" spans="3:10" ht="12.75">
      <c r="C12" s="2">
        <f>-C6*E11</f>
        <v>-0.08579028781402648</v>
      </c>
      <c r="D12" s="2">
        <f>-D6*E11</f>
        <v>-0.17158057562805296</v>
      </c>
      <c r="E12" s="2">
        <f>-E6*E11</f>
        <v>-0.11438705041870197</v>
      </c>
      <c r="F12" s="2">
        <f>E12/2</f>
        <v>-0.05719352520935098</v>
      </c>
      <c r="J12" s="2">
        <f>D12/2</f>
        <v>-0.08579028781402648</v>
      </c>
    </row>
    <row r="13" spans="6:8" ht="12.75">
      <c r="F13" s="2">
        <f>-F6*F12</f>
        <v>0.01759800775672338</v>
      </c>
      <c r="G13" s="2">
        <f>-G6*F12</f>
        <v>0.02639701163508507</v>
      </c>
      <c r="H13" s="2">
        <f>-H6*F12</f>
        <v>0.013198505817542535</v>
      </c>
    </row>
    <row r="14" spans="1:11" ht="12.75">
      <c r="A14" s="2" t="s">
        <v>16</v>
      </c>
      <c r="B14" s="2">
        <f aca="true" t="shared" si="0" ref="B14:K14">SUM(B7:B13)</f>
        <v>0</v>
      </c>
      <c r="C14" s="2">
        <f t="shared" si="0"/>
        <v>12.31521107768438</v>
      </c>
      <c r="D14" s="2">
        <f t="shared" si="0"/>
        <v>-0.36957784463123977</v>
      </c>
      <c r="E14" s="2">
        <f t="shared" si="0"/>
        <v>-11.945633233053139</v>
      </c>
      <c r="F14" s="2">
        <f t="shared" si="0"/>
        <v>62.607020497392796</v>
      </c>
      <c r="G14" s="2">
        <f t="shared" si="0"/>
        <v>48.26198633507147</v>
      </c>
      <c r="H14" s="2">
        <f t="shared" si="0"/>
        <v>-110.86900683246427</v>
      </c>
      <c r="I14" s="2">
        <f t="shared" si="0"/>
        <v>0</v>
      </c>
      <c r="J14" s="2">
        <f t="shared" si="0"/>
        <v>37.315211077684374</v>
      </c>
      <c r="K14" s="2">
        <f t="shared" si="0"/>
        <v>24.117794661718193</v>
      </c>
    </row>
    <row r="15" spans="1:7" ht="12.75">
      <c r="A15" s="2" t="s">
        <v>54</v>
      </c>
      <c r="D15" s="2">
        <f>SUM(C14:E14)</f>
        <v>0</v>
      </c>
      <c r="G15" s="2">
        <f>SUM(F14:H14)</f>
        <v>0</v>
      </c>
    </row>
    <row r="16" spans="1:1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2" ht="12.75">
      <c r="A19" s="2" t="s">
        <v>0</v>
      </c>
      <c r="B19" s="2" t="s">
        <v>1</v>
      </c>
      <c r="C19" s="8"/>
      <c r="D19" s="9" t="s">
        <v>2</v>
      </c>
      <c r="E19" s="10"/>
      <c r="F19" s="7"/>
      <c r="G19" s="12" t="s">
        <v>3</v>
      </c>
      <c r="H19" s="11"/>
      <c r="I19" s="6" t="s">
        <v>42</v>
      </c>
      <c r="J19" s="6" t="s">
        <v>43</v>
      </c>
      <c r="K19" s="6" t="s">
        <v>44</v>
      </c>
      <c r="L19" s="3" t="s">
        <v>68</v>
      </c>
    </row>
    <row r="20" spans="1:12" ht="12.75">
      <c r="A20" s="2" t="s">
        <v>5</v>
      </c>
      <c r="B20" s="2" t="s">
        <v>6</v>
      </c>
      <c r="C20" s="2" t="s">
        <v>7</v>
      </c>
      <c r="D20" s="2" t="s">
        <v>45</v>
      </c>
      <c r="E20" s="2" t="s">
        <v>8</v>
      </c>
      <c r="F20" s="2" t="s">
        <v>9</v>
      </c>
      <c r="G20" s="2" t="s">
        <v>47</v>
      </c>
      <c r="H20" s="2" t="s">
        <v>46</v>
      </c>
      <c r="I20" s="2" t="s">
        <v>48</v>
      </c>
      <c r="J20" s="2" t="s">
        <v>49</v>
      </c>
      <c r="K20" s="2" t="s">
        <v>50</v>
      </c>
      <c r="L20" s="5" t="s">
        <v>67</v>
      </c>
    </row>
    <row r="21" spans="1:14" ht="12.75">
      <c r="A21" s="2" t="s">
        <v>13</v>
      </c>
      <c r="B21" s="2" t="s">
        <v>4</v>
      </c>
      <c r="C21" s="2" t="s">
        <v>4</v>
      </c>
      <c r="D21" s="2" t="s">
        <v>51</v>
      </c>
      <c r="E21" s="2" t="s">
        <v>4</v>
      </c>
      <c r="F21" s="2" t="s">
        <v>4</v>
      </c>
      <c r="G21" s="2" t="s">
        <v>51</v>
      </c>
      <c r="H21" s="2" t="s">
        <v>4</v>
      </c>
      <c r="I21" s="2" t="s">
        <v>4</v>
      </c>
      <c r="J21" s="2" t="s">
        <v>53</v>
      </c>
      <c r="K21" s="2" t="s">
        <v>53</v>
      </c>
      <c r="L21" s="3" t="s">
        <v>21</v>
      </c>
      <c r="M21" s="3"/>
      <c r="N21" s="3"/>
    </row>
    <row r="22" spans="1:14" ht="12.75">
      <c r="A22" s="2" t="s">
        <v>35</v>
      </c>
      <c r="B22" s="2" t="s">
        <v>4</v>
      </c>
      <c r="C22" s="2" t="s">
        <v>52</v>
      </c>
      <c r="D22" s="2" t="s">
        <v>51</v>
      </c>
      <c r="E22" s="2" t="s">
        <v>4</v>
      </c>
      <c r="F22" s="2" t="s">
        <v>4</v>
      </c>
      <c r="G22" s="2" t="s">
        <v>51</v>
      </c>
      <c r="H22" s="2" t="s">
        <v>52</v>
      </c>
      <c r="I22" s="2" t="s">
        <v>4</v>
      </c>
      <c r="J22" s="2" t="s">
        <v>53</v>
      </c>
      <c r="K22" s="2" t="s">
        <v>53</v>
      </c>
      <c r="L22" s="3" t="s">
        <v>69</v>
      </c>
      <c r="M22"/>
      <c r="N22"/>
    </row>
    <row r="23" spans="1:16" ht="12.75">
      <c r="A23" s="2" t="s">
        <v>10</v>
      </c>
      <c r="B23" s="2">
        <v>1</v>
      </c>
      <c r="C23" s="2">
        <f>0.75/(0.75+1+1.5)</f>
        <v>0.23076923076923078</v>
      </c>
      <c r="D23" s="2">
        <f>1.5/(0.75+1+1.5)</f>
        <v>0.46153846153846156</v>
      </c>
      <c r="E23" s="2">
        <f>1/(0.75+1+1.5)</f>
        <v>0.3076923076923077</v>
      </c>
      <c r="F23" s="2">
        <f>1/(0.75+1+1.5)</f>
        <v>0.3076923076923077</v>
      </c>
      <c r="G23" s="2">
        <f>1.5/(0.75+1+1.5)</f>
        <v>0.46153846153846156</v>
      </c>
      <c r="H23" s="2">
        <f>0.75/(0.75+1+1.5)</f>
        <v>0.23076923076923078</v>
      </c>
      <c r="I23" s="2">
        <v>1</v>
      </c>
      <c r="J23" s="2">
        <v>0</v>
      </c>
      <c r="K23" s="2">
        <v>0</v>
      </c>
      <c r="L23" s="3" t="s">
        <v>63</v>
      </c>
      <c r="M23" s="3"/>
      <c r="N23" s="3"/>
      <c r="O23" s="3"/>
      <c r="P23" s="3"/>
    </row>
    <row r="24" spans="1:12" ht="12.75">
      <c r="A24" s="2" t="s">
        <v>11</v>
      </c>
      <c r="B24" s="2">
        <v>0</v>
      </c>
      <c r="C24" s="2">
        <v>0</v>
      </c>
      <c r="D24" s="2">
        <f>-10*20/8</f>
        <v>-25</v>
      </c>
      <c r="E24" s="2">
        <f>-10*20^2*10/30^2</f>
        <v>-44.44444444444444</v>
      </c>
      <c r="F24" s="2">
        <f>10*20*10^2/30^2</f>
        <v>22.22222222222222</v>
      </c>
      <c r="G24" s="2">
        <v>0</v>
      </c>
      <c r="H24" s="2">
        <f>-1.2*30^2/12</f>
        <v>-90</v>
      </c>
      <c r="I24" s="2">
        <f>1.2*30^2/12</f>
        <v>90</v>
      </c>
      <c r="J24" s="2">
        <f>10*20/8</f>
        <v>25</v>
      </c>
      <c r="K24" s="2">
        <v>0</v>
      </c>
      <c r="L24" s="3" t="s">
        <v>64</v>
      </c>
    </row>
    <row r="25" spans="8:14" ht="12.75">
      <c r="H25" s="2">
        <f>I25/2</f>
        <v>-45</v>
      </c>
      <c r="I25" s="2">
        <f>-I23*I24</f>
        <v>-90</v>
      </c>
      <c r="L25" s="3" t="s">
        <v>70</v>
      </c>
      <c r="M25" s="3"/>
      <c r="N25" s="3"/>
    </row>
    <row r="26" spans="3:14" ht="12.75">
      <c r="C26" s="2" t="s">
        <v>65</v>
      </c>
      <c r="L26" s="3" t="s">
        <v>59</v>
      </c>
      <c r="M26" s="3"/>
      <c r="N26" s="3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3" t="s">
        <v>56</v>
      </c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3" t="s">
        <v>57</v>
      </c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3" t="s">
        <v>60</v>
      </c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3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3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3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3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3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3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3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3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3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3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3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3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O44" s="3"/>
      <c r="P44" s="3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O45" s="3"/>
      <c r="P45" s="3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O46" s="3"/>
      <c r="P46" s="3"/>
    </row>
    <row r="47" spans="1:16" ht="12.75">
      <c r="A47" s="2" t="s">
        <v>0</v>
      </c>
      <c r="B47" s="2" t="s">
        <v>1</v>
      </c>
      <c r="D47" s="2" t="s">
        <v>2</v>
      </c>
      <c r="F47" s="6"/>
      <c r="G47" s="6" t="s">
        <v>3</v>
      </c>
      <c r="H47" s="6"/>
      <c r="I47" s="6" t="s">
        <v>42</v>
      </c>
      <c r="J47" s="6" t="s">
        <v>43</v>
      </c>
      <c r="K47" s="6" t="s">
        <v>44</v>
      </c>
      <c r="L47" s="3" t="s">
        <v>72</v>
      </c>
      <c r="O47" s="3"/>
      <c r="P47" s="3"/>
    </row>
    <row r="48" spans="1:16" ht="12.75">
      <c r="A48" s="2" t="s">
        <v>5</v>
      </c>
      <c r="B48" s="2" t="s">
        <v>6</v>
      </c>
      <c r="C48" s="2" t="s">
        <v>7</v>
      </c>
      <c r="D48" s="2" t="s">
        <v>45</v>
      </c>
      <c r="E48" s="2" t="s">
        <v>8</v>
      </c>
      <c r="F48" s="2" t="s">
        <v>9</v>
      </c>
      <c r="G48" s="2" t="s">
        <v>47</v>
      </c>
      <c r="H48" s="2" t="s">
        <v>46</v>
      </c>
      <c r="I48" s="2" t="s">
        <v>48</v>
      </c>
      <c r="J48" s="2" t="s">
        <v>49</v>
      </c>
      <c r="K48" s="2" t="s">
        <v>50</v>
      </c>
      <c r="L48" s="3" t="s">
        <v>71</v>
      </c>
      <c r="O48" s="3"/>
      <c r="P48" s="3"/>
    </row>
    <row r="49" spans="1:16" ht="12.75">
      <c r="A49" s="2" t="s">
        <v>13</v>
      </c>
      <c r="B49" s="2" t="s">
        <v>4</v>
      </c>
      <c r="C49" s="2" t="s">
        <v>4</v>
      </c>
      <c r="D49" s="2" t="s">
        <v>51</v>
      </c>
      <c r="E49" s="2" t="s">
        <v>4</v>
      </c>
      <c r="F49" s="2" t="s">
        <v>4</v>
      </c>
      <c r="G49" s="2" t="s">
        <v>51</v>
      </c>
      <c r="H49" s="2" t="s">
        <v>4</v>
      </c>
      <c r="I49" s="2" t="s">
        <v>4</v>
      </c>
      <c r="J49" s="2" t="s">
        <v>53</v>
      </c>
      <c r="K49" s="2" t="s">
        <v>53</v>
      </c>
      <c r="L49" s="3" t="s">
        <v>55</v>
      </c>
      <c r="M49" s="3"/>
      <c r="N49" s="3"/>
      <c r="O49" s="3"/>
      <c r="P49" s="3"/>
    </row>
    <row r="50" spans="1:14" ht="12.75">
      <c r="A50" s="2" t="s">
        <v>35</v>
      </c>
      <c r="B50" s="2" t="s">
        <v>4</v>
      </c>
      <c r="C50" s="2" t="s">
        <v>52</v>
      </c>
      <c r="D50" s="2" t="s">
        <v>51</v>
      </c>
      <c r="E50" s="2" t="s">
        <v>4</v>
      </c>
      <c r="F50" s="2" t="s">
        <v>4</v>
      </c>
      <c r="G50" s="2" t="s">
        <v>51</v>
      </c>
      <c r="H50" s="2" t="s">
        <v>52</v>
      </c>
      <c r="I50" s="2" t="s">
        <v>4</v>
      </c>
      <c r="J50" s="2" t="s">
        <v>53</v>
      </c>
      <c r="K50" s="2" t="s">
        <v>53</v>
      </c>
      <c r="L50" s="3" t="s">
        <v>58</v>
      </c>
      <c r="M50" s="3"/>
      <c r="N50" s="3"/>
    </row>
    <row r="51" spans="1:16" ht="12.75">
      <c r="A51" s="2" t="s">
        <v>10</v>
      </c>
      <c r="B51" s="2">
        <v>1</v>
      </c>
      <c r="C51" s="2">
        <f>0.75/(0.75+1+1.5)</f>
        <v>0.23076923076923078</v>
      </c>
      <c r="D51" s="2">
        <f>1.5/(0.75+1+1.5)</f>
        <v>0.46153846153846156</v>
      </c>
      <c r="E51" s="2">
        <f>1/(0.75+1+1.5)</f>
        <v>0.3076923076923077</v>
      </c>
      <c r="F51" s="2">
        <f>1/(0.75+1+1.5)</f>
        <v>0.3076923076923077</v>
      </c>
      <c r="G51" s="2">
        <f>1.5/(0.75+1+1.5)</f>
        <v>0.46153846153846156</v>
      </c>
      <c r="H51" s="2">
        <f>0.75/(0.75+1+1.5)</f>
        <v>0.23076923076923078</v>
      </c>
      <c r="I51" s="2">
        <v>1</v>
      </c>
      <c r="J51" s="2">
        <v>0</v>
      </c>
      <c r="K51" s="2">
        <v>0</v>
      </c>
      <c r="L51" s="3" t="s">
        <v>59</v>
      </c>
      <c r="M51" s="3"/>
      <c r="N51" s="3"/>
      <c r="O51" s="3"/>
      <c r="P51" s="3"/>
    </row>
    <row r="52" spans="1:16" ht="12.75">
      <c r="A52" s="2" t="s">
        <v>11</v>
      </c>
      <c r="B52" s="2">
        <v>0</v>
      </c>
      <c r="C52" s="2">
        <v>0</v>
      </c>
      <c r="D52" s="2">
        <f>-10*20/8</f>
        <v>-25</v>
      </c>
      <c r="E52" s="2">
        <f>-10*20^2*10/30^2</f>
        <v>-44.44444444444444</v>
      </c>
      <c r="F52" s="2">
        <f>10*20*10^2/30^2</f>
        <v>22.22222222222222</v>
      </c>
      <c r="G52" s="2">
        <v>0</v>
      </c>
      <c r="H52" s="2">
        <f>-1.2*30^2/8</f>
        <v>-135</v>
      </c>
      <c r="I52" s="2">
        <f>0</f>
        <v>0</v>
      </c>
      <c r="J52" s="2">
        <f>10*20/8</f>
        <v>25</v>
      </c>
      <c r="K52" s="2">
        <v>0</v>
      </c>
      <c r="L52" s="3" t="s">
        <v>56</v>
      </c>
      <c r="O52" s="3"/>
      <c r="P52" s="3"/>
    </row>
    <row r="53" spans="1:16" ht="12.75">
      <c r="A53" s="2" t="s">
        <v>17</v>
      </c>
      <c r="C53" s="2">
        <f>-C51*SUM(C52:E52)</f>
        <v>16.025641025641026</v>
      </c>
      <c r="D53" s="2">
        <f>-D51*SUM(C52:E52)</f>
        <v>32.05128205128205</v>
      </c>
      <c r="E53" s="2">
        <f>-E51*SUM(C52:E52)</f>
        <v>21.36752136752137</v>
      </c>
      <c r="F53" s="2">
        <f>-F51*SUM(F52:H52)</f>
        <v>34.7008547008547</v>
      </c>
      <c r="G53" s="2">
        <f>-G51*SUM(F52:H52)</f>
        <v>52.05128205128205</v>
      </c>
      <c r="H53" s="2">
        <f>-H51*SUM(F52:H52)</f>
        <v>26.025641025641026</v>
      </c>
      <c r="L53" s="3" t="s">
        <v>57</v>
      </c>
      <c r="O53" s="3"/>
      <c r="P53" s="3"/>
    </row>
    <row r="54" spans="1:12" ht="12.75">
      <c r="A54" s="2" t="s">
        <v>18</v>
      </c>
      <c r="E54" s="2">
        <f>F53/2</f>
        <v>17.35042735042735</v>
      </c>
      <c r="F54" s="2">
        <f>E53/2</f>
        <v>10.683760683760685</v>
      </c>
      <c r="J54" s="2">
        <f>D53/2</f>
        <v>16.025641025641026</v>
      </c>
      <c r="K54" s="2">
        <f>G53/2</f>
        <v>26.025641025641026</v>
      </c>
      <c r="L54" s="3" t="s">
        <v>60</v>
      </c>
    </row>
    <row r="55" spans="1:8" ht="12.75">
      <c r="A55" s="2" t="s">
        <v>17</v>
      </c>
      <c r="C55" s="2">
        <f>-C51*E54</f>
        <v>-4.003944773175542</v>
      </c>
      <c r="D55" s="2">
        <f>-D51*E54</f>
        <v>-8.007889546351084</v>
      </c>
      <c r="E55" s="2">
        <f>-E51*E54</f>
        <v>-5.338593030900723</v>
      </c>
      <c r="F55" s="2">
        <f>-F51*F54</f>
        <v>-3.2873109796186726</v>
      </c>
      <c r="G55" s="2">
        <f>-G51*F54</f>
        <v>-4.930966469428009</v>
      </c>
      <c r="H55" s="2">
        <f>-H51*F54</f>
        <v>-2.4654832347140045</v>
      </c>
    </row>
    <row r="56" spans="1:11" ht="12.75">
      <c r="A56" s="2" t="s">
        <v>18</v>
      </c>
      <c r="E56" s="2">
        <f>F55/2</f>
        <v>-1.6436554898093363</v>
      </c>
      <c r="F56" s="2">
        <f>E55/2</f>
        <v>-2.6692965154503616</v>
      </c>
      <c r="J56" s="2">
        <f>D55/2</f>
        <v>-4.003944773175542</v>
      </c>
      <c r="K56" s="2">
        <f>G55/2</f>
        <v>-2.4654832347140045</v>
      </c>
    </row>
    <row r="57" spans="1:8" ht="12.75">
      <c r="A57" s="2" t="s">
        <v>17</v>
      </c>
      <c r="C57" s="2">
        <f>-C51*E56</f>
        <v>0.3793051130329238</v>
      </c>
      <c r="D57" s="2">
        <f>-D51*E56</f>
        <v>0.7586102260658476</v>
      </c>
      <c r="E57" s="2">
        <f>-E51*E56</f>
        <v>0.505740150710565</v>
      </c>
      <c r="F57" s="2">
        <f>-F51*F56</f>
        <v>0.8213220047539574</v>
      </c>
      <c r="G57" s="2">
        <f>-G51*F56</f>
        <v>1.2319830071309361</v>
      </c>
      <c r="H57" s="2">
        <f>-H51*F56</f>
        <v>0.6159915035654681</v>
      </c>
    </row>
    <row r="58" spans="1:11" ht="12.75">
      <c r="A58" s="2" t="s">
        <v>18</v>
      </c>
      <c r="E58" s="2">
        <f>F57/2</f>
        <v>0.4106610023769787</v>
      </c>
      <c r="F58" s="2">
        <f>E57/2</f>
        <v>0.2528700753552825</v>
      </c>
      <c r="J58" s="2">
        <f>D57/2</f>
        <v>0.3793051130329238</v>
      </c>
      <c r="K58" s="2">
        <f>G57/2</f>
        <v>0.6159915035654681</v>
      </c>
    </row>
    <row r="59" spans="1:8" ht="12.75">
      <c r="A59" s="2" t="s">
        <v>17</v>
      </c>
      <c r="C59" s="2">
        <f>-C51*E58</f>
        <v>-0.09476792362545663</v>
      </c>
      <c r="D59" s="2">
        <f>-D51*E58</f>
        <v>-0.18953584725091327</v>
      </c>
      <c r="E59" s="2">
        <f>-E51*E58</f>
        <v>-0.12635723150060885</v>
      </c>
      <c r="F59" s="2">
        <f>-F51*F58</f>
        <v>-0.07780617703239462</v>
      </c>
      <c r="G59" s="2">
        <f>-G51*F58</f>
        <v>-0.11670926554859193</v>
      </c>
      <c r="H59" s="2">
        <f>-H51*F58</f>
        <v>-0.058354632774295964</v>
      </c>
    </row>
    <row r="60" spans="1:11" ht="12.75">
      <c r="A60" s="2" t="s">
        <v>18</v>
      </c>
      <c r="E60" s="2">
        <f>F59/2</f>
        <v>-0.03890308851619731</v>
      </c>
      <c r="F60" s="2">
        <f>E59/2</f>
        <v>-0.06317861575030442</v>
      </c>
      <c r="J60" s="2">
        <f>D59/2</f>
        <v>-0.09476792362545663</v>
      </c>
      <c r="K60" s="2">
        <f>G59/2</f>
        <v>-0.058354632774295964</v>
      </c>
    </row>
    <row r="61" spans="1:8" ht="12.75">
      <c r="A61" s="2" t="s">
        <v>17</v>
      </c>
      <c r="C61" s="2">
        <f>-C51*E60</f>
        <v>0.008977635811430148</v>
      </c>
      <c r="D61" s="2">
        <f>-D51*E60</f>
        <v>0.017955271622860296</v>
      </c>
      <c r="E61" s="2">
        <f>-E51*E60</f>
        <v>0.011970181081906865</v>
      </c>
      <c r="F61" s="2">
        <f>-F51*F60</f>
        <v>0.01943957407701675</v>
      </c>
      <c r="G61" s="2">
        <f>-G51*F60</f>
        <v>0.02915936111552512</v>
      </c>
      <c r="H61" s="2">
        <f>-H51*F60</f>
        <v>0.01457968055776256</v>
      </c>
    </row>
    <row r="62" spans="1:11" ht="12.75">
      <c r="A62" s="2" t="s">
        <v>66</v>
      </c>
      <c r="B62" s="2">
        <f>SUM(B52:B61)</f>
        <v>0</v>
      </c>
      <c r="C62" s="2">
        <f>SUM(C52:C61)</f>
        <v>12.315211077684381</v>
      </c>
      <c r="D62" s="2">
        <f>SUM(D52:D61)</f>
        <v>-0.3695778446312382</v>
      </c>
      <c r="E62" s="2">
        <f aca="true" t="shared" si="1" ref="E62:K62">SUM(E52:E61)</f>
        <v>-11.94563323305314</v>
      </c>
      <c r="F62" s="2">
        <f t="shared" si="1"/>
        <v>62.60287697317214</v>
      </c>
      <c r="G62" s="2">
        <f t="shared" si="1"/>
        <v>48.26474868455191</v>
      </c>
      <c r="H62" s="2">
        <f t="shared" si="1"/>
        <v>-110.86762565772405</v>
      </c>
      <c r="I62" s="2">
        <f t="shared" si="1"/>
        <v>0</v>
      </c>
      <c r="J62" s="2">
        <f t="shared" si="1"/>
        <v>37.30623344187295</v>
      </c>
      <c r="K62" s="2">
        <f t="shared" si="1"/>
        <v>24.117794661718193</v>
      </c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 t="s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2" t="s">
        <v>0</v>
      </c>
      <c r="B92" s="2" t="s">
        <v>1</v>
      </c>
      <c r="D92" s="2" t="s">
        <v>2</v>
      </c>
      <c r="F92" s="2" t="s">
        <v>3</v>
      </c>
      <c r="H92" s="2" t="s">
        <v>42</v>
      </c>
      <c r="I92" s="3" t="s">
        <v>72</v>
      </c>
      <c r="J92" s="4"/>
      <c r="K92" s="4"/>
    </row>
    <row r="93" spans="1:11" ht="12.75">
      <c r="A93" s="2" t="s">
        <v>5</v>
      </c>
      <c r="B93" s="2" t="s">
        <v>6</v>
      </c>
      <c r="C93" s="2" t="s">
        <v>7</v>
      </c>
      <c r="D93" s="2" t="s">
        <v>8</v>
      </c>
      <c r="E93" s="2" t="s">
        <v>9</v>
      </c>
      <c r="F93" s="2" t="s">
        <v>74</v>
      </c>
      <c r="G93" s="2" t="s">
        <v>46</v>
      </c>
      <c r="H93" s="2" t="s">
        <v>48</v>
      </c>
      <c r="I93" s="4"/>
      <c r="J93" s="4"/>
      <c r="K93" s="4"/>
    </row>
    <row r="94" spans="1:11" ht="12.75">
      <c r="A94" s="2" t="s">
        <v>13</v>
      </c>
      <c r="B94" s="2" t="s">
        <v>4</v>
      </c>
      <c r="C94" s="2" t="s">
        <v>4</v>
      </c>
      <c r="D94" s="2" t="s">
        <v>76</v>
      </c>
      <c r="E94" s="2" t="s">
        <v>76</v>
      </c>
      <c r="F94" s="2">
        <v>0</v>
      </c>
      <c r="G94" s="2" t="s">
        <v>4</v>
      </c>
      <c r="H94" s="2" t="s">
        <v>4</v>
      </c>
      <c r="I94" s="4" t="s">
        <v>75</v>
      </c>
      <c r="J94" s="4"/>
      <c r="K94" s="4"/>
    </row>
    <row r="95" spans="1:11" ht="12.75">
      <c r="A95" s="2" t="s">
        <v>10</v>
      </c>
      <c r="B95" s="2">
        <v>0</v>
      </c>
      <c r="C95" s="2">
        <f>1/4</f>
        <v>0.25</v>
      </c>
      <c r="D95" s="2">
        <f>3/4</f>
        <v>0.75</v>
      </c>
      <c r="E95" s="2">
        <f>3/4</f>
        <v>0.75</v>
      </c>
      <c r="F95" s="2">
        <v>0</v>
      </c>
      <c r="G95" s="2">
        <f>1/4</f>
        <v>0.25</v>
      </c>
      <c r="H95" s="2">
        <v>0</v>
      </c>
      <c r="I95" s="4" t="s">
        <v>77</v>
      </c>
      <c r="J95" s="4"/>
      <c r="K95" s="4"/>
    </row>
    <row r="96" spans="1:11" ht="12.75">
      <c r="A96" s="2" t="s">
        <v>11</v>
      </c>
      <c r="B96" s="2">
        <f>-20*5^2*10/15^2</f>
        <v>-22.22222222222222</v>
      </c>
      <c r="C96" s="2">
        <f>20*5*10^2/15^2</f>
        <v>44.44444444444444</v>
      </c>
      <c r="D96" s="2">
        <f>-100*12^2*8/20^2</f>
        <v>-288</v>
      </c>
      <c r="E96" s="2">
        <f>100*12*8^2/20^2</f>
        <v>192</v>
      </c>
      <c r="F96" s="2">
        <f>-50*5</f>
        <v>-250</v>
      </c>
      <c r="G96" s="2">
        <v>0</v>
      </c>
      <c r="H96" s="2">
        <v>0</v>
      </c>
      <c r="I96" s="4" t="s">
        <v>78</v>
      </c>
      <c r="J96" s="4"/>
      <c r="K96" s="4"/>
    </row>
    <row r="97" spans="1:11" ht="12.75">
      <c r="A97" s="2" t="s">
        <v>17</v>
      </c>
      <c r="C97" s="2">
        <f>-C95*SUM(C96:D96)</f>
        <v>60.888888888888886</v>
      </c>
      <c r="D97" s="2">
        <f>-D95*SUM(C96:D96)</f>
        <v>182.66666666666666</v>
      </c>
      <c r="E97" s="2">
        <f>-E95*SUM(E96:G96)</f>
        <v>43.5</v>
      </c>
      <c r="G97" s="2">
        <f>-G95*SUM(E96:G96)</f>
        <v>14.5</v>
      </c>
      <c r="I97" s="4" t="s">
        <v>80</v>
      </c>
      <c r="J97" s="4"/>
      <c r="K97" s="4"/>
    </row>
    <row r="98" spans="1:11" ht="12.75">
      <c r="A98" s="2" t="s">
        <v>18</v>
      </c>
      <c r="B98" s="2">
        <f>C97/2</f>
        <v>30.444444444444443</v>
      </c>
      <c r="D98" s="2">
        <f>E97/2</f>
        <v>21.75</v>
      </c>
      <c r="E98" s="2">
        <f>D97/2</f>
        <v>91.33333333333333</v>
      </c>
      <c r="H98" s="2">
        <f>G97/2</f>
        <v>7.25</v>
      </c>
      <c r="I98" s="13"/>
      <c r="J98" s="4"/>
      <c r="K98" s="4"/>
    </row>
    <row r="99" spans="1:11" ht="12.75">
      <c r="A99" s="2" t="s">
        <v>17</v>
      </c>
      <c r="C99" s="2">
        <f>-C95*SUM(C98:D98)</f>
        <v>-5.4375</v>
      </c>
      <c r="D99" s="2">
        <f>-D95*SUM(C98:D98)</f>
        <v>-16.3125</v>
      </c>
      <c r="E99" s="2">
        <f>-E95*SUM(E98:G98)</f>
        <v>-68.5</v>
      </c>
      <c r="G99" s="2">
        <f>-G95*SUM(E98:G98)</f>
        <v>-22.833333333333332</v>
      </c>
      <c r="I99" s="4"/>
      <c r="J99" s="4"/>
      <c r="K99" s="4"/>
    </row>
    <row r="100" spans="1:11" ht="12.75">
      <c r="A100" s="2" t="s">
        <v>18</v>
      </c>
      <c r="B100" s="2">
        <f>C99/2</f>
        <v>-2.71875</v>
      </c>
      <c r="D100" s="2">
        <f>E99/2</f>
        <v>-34.25</v>
      </c>
      <c r="E100" s="2">
        <f>D99/2</f>
        <v>-8.15625</v>
      </c>
      <c r="H100" s="2">
        <f>G99/2</f>
        <v>-11.416666666666666</v>
      </c>
      <c r="I100" s="4"/>
      <c r="J100" s="4"/>
      <c r="K100" s="4"/>
    </row>
    <row r="101" spans="1:11" ht="12.75">
      <c r="A101" s="2" t="s">
        <v>17</v>
      </c>
      <c r="C101" s="2">
        <f>-C95*SUM(C100:D100)</f>
        <v>8.5625</v>
      </c>
      <c r="D101" s="2">
        <f>-D95*SUM(C100:D100)</f>
        <v>25.6875</v>
      </c>
      <c r="E101" s="2">
        <f>-E95*SUM(E100:G100)</f>
        <v>6.1171875</v>
      </c>
      <c r="G101" s="2">
        <f>-G95*SUM(E100:G100)</f>
        <v>2.0390625</v>
      </c>
      <c r="I101" s="4"/>
      <c r="J101" s="4"/>
      <c r="K101" s="4"/>
    </row>
    <row r="102" spans="1:11" ht="12.75">
      <c r="A102" s="2" t="s">
        <v>18</v>
      </c>
      <c r="B102" s="2">
        <f>C101/2</f>
        <v>4.28125</v>
      </c>
      <c r="D102" s="2">
        <f>E101/2</f>
        <v>3.05859375</v>
      </c>
      <c r="E102" s="2">
        <f>D101/2</f>
        <v>12.84375</v>
      </c>
      <c r="H102" s="2">
        <f>G101/2</f>
        <v>1.01953125</v>
      </c>
      <c r="I102" s="4"/>
      <c r="J102" s="4"/>
      <c r="K102" s="4"/>
    </row>
    <row r="103" spans="1:11" ht="12.75">
      <c r="A103" s="2" t="s">
        <v>17</v>
      </c>
      <c r="C103" s="2">
        <f>-C95*SUM(C102:D102)</f>
        <v>-0.7646484375</v>
      </c>
      <c r="D103" s="2">
        <f>-D95*SUM(C102:D102)</f>
        <v>-2.2939453125</v>
      </c>
      <c r="E103" s="2">
        <f>-E95*SUM(E102:G102)</f>
        <v>-9.6328125</v>
      </c>
      <c r="G103" s="2">
        <f>-G95*SUM(E102:G102)</f>
        <v>-3.2109375</v>
      </c>
      <c r="I103" s="4"/>
      <c r="J103" s="4"/>
      <c r="K103" s="4"/>
    </row>
    <row r="104" spans="1:11" ht="12.75">
      <c r="A104" s="2" t="s">
        <v>18</v>
      </c>
      <c r="B104" s="2">
        <f>C103/2</f>
        <v>-0.38232421875</v>
      </c>
      <c r="D104" s="2">
        <f>E103/2</f>
        <v>-4.81640625</v>
      </c>
      <c r="E104" s="2">
        <f>D103/2</f>
        <v>-1.14697265625</v>
      </c>
      <c r="H104" s="2">
        <f>G103/2</f>
        <v>-1.60546875</v>
      </c>
      <c r="I104" s="4"/>
      <c r="J104" s="4"/>
      <c r="K104" s="4"/>
    </row>
    <row r="105" spans="1:11" ht="12.75">
      <c r="A105" s="2" t="s">
        <v>17</v>
      </c>
      <c r="C105" s="2">
        <f>-C95*SUM(C104:D104)</f>
        <v>1.2041015625</v>
      </c>
      <c r="D105" s="2">
        <f>-D95*SUM(C104:D104)</f>
        <v>3.6123046875</v>
      </c>
      <c r="E105" s="2">
        <f>-E95*SUM(E104:G104)</f>
        <v>0.8602294921875</v>
      </c>
      <c r="G105" s="2">
        <f>-G95*SUM(E104:G104)</f>
        <v>0.2867431640625</v>
      </c>
      <c r="I105" s="4"/>
      <c r="J105" s="4"/>
      <c r="K105" s="4"/>
    </row>
    <row r="106" spans="1:11" ht="12.75">
      <c r="A106" s="2" t="s">
        <v>18</v>
      </c>
      <c r="B106" s="2">
        <f>C105/2</f>
        <v>0.60205078125</v>
      </c>
      <c r="D106" s="2">
        <f>E105/2</f>
        <v>0.43011474609375</v>
      </c>
      <c r="E106" s="2">
        <f>D105/2</f>
        <v>1.80615234375</v>
      </c>
      <c r="H106" s="2">
        <f>G105/2</f>
        <v>0.14337158203125</v>
      </c>
      <c r="I106" s="4"/>
      <c r="J106" s="4"/>
      <c r="K106" s="4"/>
    </row>
    <row r="107" spans="1:11" ht="12.75">
      <c r="A107" s="2" t="s">
        <v>17</v>
      </c>
      <c r="C107" s="2">
        <f>-C95*SUM(C106:D106)</f>
        <v>-0.1075286865234375</v>
      </c>
      <c r="D107" s="2">
        <f>-D95*SUM(C106:D106)</f>
        <v>-0.3225860595703125</v>
      </c>
      <c r="E107" s="2">
        <f>-E95*SUM(E106:G106)</f>
        <v>-1.3546142578125</v>
      </c>
      <c r="G107" s="2">
        <f>-G95*SUM(E106:G106)</f>
        <v>-0.4515380859375</v>
      </c>
      <c r="I107" s="4"/>
      <c r="J107" s="4"/>
      <c r="K107" s="4"/>
    </row>
    <row r="108" spans="1:11" ht="12.75">
      <c r="A108" s="2" t="s">
        <v>18</v>
      </c>
      <c r="B108" s="2">
        <f>C107/2</f>
        <v>-0.05376434326171875</v>
      </c>
      <c r="D108" s="2">
        <f>E107/2</f>
        <v>-0.67730712890625</v>
      </c>
      <c r="E108" s="2">
        <f>D107/2</f>
        <v>-0.16129302978515625</v>
      </c>
      <c r="H108" s="2">
        <f>G107/2</f>
        <v>-0.22576904296875</v>
      </c>
      <c r="I108" s="4"/>
      <c r="J108" s="4"/>
      <c r="K108" s="4"/>
    </row>
    <row r="109" spans="1:11" ht="12.75">
      <c r="A109" s="2" t="s">
        <v>17</v>
      </c>
      <c r="C109" s="2">
        <f>-C95*SUM(C108:D108)</f>
        <v>0.1693267822265625</v>
      </c>
      <c r="D109" s="2">
        <f>-D95*SUM(C108:D108)</f>
        <v>0.5079803466796875</v>
      </c>
      <c r="E109" s="2">
        <f>-E95*SUM(E108:G108)</f>
        <v>0.12096977233886719</v>
      </c>
      <c r="G109" s="2">
        <f>-G95*SUM(E108:G108)</f>
        <v>0.04032325744628906</v>
      </c>
      <c r="I109" s="4"/>
      <c r="J109" s="4"/>
      <c r="K109" s="4"/>
    </row>
    <row r="110" spans="1:11" ht="12.75">
      <c r="A110" s="2" t="s">
        <v>18</v>
      </c>
      <c r="B110" s="2">
        <f>C109/2</f>
        <v>0.08466339111328125</v>
      </c>
      <c r="D110" s="2">
        <f>E109/2</f>
        <v>0.060484886169433594</v>
      </c>
      <c r="E110" s="2">
        <f>D109/2</f>
        <v>0.25399017333984375</v>
      </c>
      <c r="H110" s="2">
        <f>G109/2</f>
        <v>0.02016162872314453</v>
      </c>
      <c r="I110" s="4"/>
      <c r="J110" s="4"/>
      <c r="K110" s="4"/>
    </row>
    <row r="111" spans="1:11" ht="12.75">
      <c r="A111" s="2" t="s">
        <v>17</v>
      </c>
      <c r="C111" s="2">
        <f>-C95*SUM(C110:D110)</f>
        <v>-0.015121221542358398</v>
      </c>
      <c r="D111" s="2">
        <f>-D95*SUM(C110:D110)</f>
        <v>-0.045363664627075195</v>
      </c>
      <c r="E111" s="2">
        <f>-E95*SUM(E110:G110)</f>
        <v>-0.1904926300048828</v>
      </c>
      <c r="G111" s="2">
        <f>-G95*SUM(E110:G110)</f>
        <v>-0.06349754333496094</v>
      </c>
      <c r="I111" s="4"/>
      <c r="J111" s="4"/>
      <c r="K111" s="4"/>
    </row>
    <row r="112" spans="1:11" ht="12.75">
      <c r="A112" s="2" t="s">
        <v>98</v>
      </c>
      <c r="B112" s="2">
        <f>SUM(B96:B111)</f>
        <v>10.035347832573784</v>
      </c>
      <c r="C112" s="2">
        <f aca="true" t="shared" si="2" ref="C112:H112">SUM(C96:C111)</f>
        <v>108.9444633324941</v>
      </c>
      <c r="D112" s="2">
        <f t="shared" si="2"/>
        <v>-108.94446333249411</v>
      </c>
      <c r="E112" s="2">
        <f t="shared" si="2"/>
        <v>259.693177541097</v>
      </c>
      <c r="F112" s="2">
        <f t="shared" si="2"/>
        <v>-250</v>
      </c>
      <c r="G112" s="2">
        <f t="shared" si="2"/>
        <v>-9.693177541097004</v>
      </c>
      <c r="H112" s="2">
        <f t="shared" si="2"/>
        <v>-4.8148399988810215</v>
      </c>
      <c r="I112" s="4"/>
      <c r="J112" s="4"/>
      <c r="K112" s="4"/>
    </row>
    <row r="113" spans="9:11" ht="12.75">
      <c r="I113" s="4"/>
      <c r="J113" s="4"/>
      <c r="K113" s="4"/>
    </row>
    <row r="114" spans="1:11" ht="12.75">
      <c r="A114" s="2" t="s">
        <v>92</v>
      </c>
      <c r="B114" s="2">
        <f>-(B112+C112-20*5)/15</f>
        <v>-1.2653207443378582</v>
      </c>
      <c r="C114" s="2" t="s">
        <v>95</v>
      </c>
      <c r="I114" s="4"/>
      <c r="J114" s="4"/>
      <c r="K114" s="4"/>
    </row>
    <row r="115" spans="1:11" ht="12.75">
      <c r="A115" s="2" t="s">
        <v>93</v>
      </c>
      <c r="B115" s="2">
        <f>-(G112+H112)/15</f>
        <v>0.9672011693318684</v>
      </c>
      <c r="C115" s="2" t="s">
        <v>96</v>
      </c>
      <c r="I115" s="4"/>
      <c r="J115" s="4"/>
      <c r="K115" s="4"/>
    </row>
    <row r="116" spans="1:11" ht="12.75">
      <c r="A116" s="2" t="s">
        <v>94</v>
      </c>
      <c r="B116" s="2">
        <f>B114+B115-20</f>
        <v>-20.29811957500599</v>
      </c>
      <c r="C116" s="2" t="s">
        <v>97</v>
      </c>
      <c r="I116" s="4"/>
      <c r="J116" s="4"/>
      <c r="K116" s="4"/>
    </row>
    <row r="117" spans="9:11" ht="12.75">
      <c r="I117" s="4"/>
      <c r="J117" s="4"/>
      <c r="K117" s="4"/>
    </row>
    <row r="118" spans="1:11" ht="12.75">
      <c r="A118" s="2" t="s">
        <v>0</v>
      </c>
      <c r="B118" s="2" t="s">
        <v>1</v>
      </c>
      <c r="D118" s="2" t="s">
        <v>2</v>
      </c>
      <c r="I118" s="4" t="s">
        <v>79</v>
      </c>
      <c r="J118" s="4"/>
      <c r="K118" s="4"/>
    </row>
    <row r="119" spans="1:11" ht="12.75">
      <c r="A119" s="2" t="s">
        <v>5</v>
      </c>
      <c r="B119" s="2" t="s">
        <v>6</v>
      </c>
      <c r="C119" s="2" t="s">
        <v>7</v>
      </c>
      <c r="D119" s="2" t="s">
        <v>8</v>
      </c>
      <c r="I119" s="4"/>
      <c r="J119" s="4"/>
      <c r="K119" s="4"/>
    </row>
    <row r="120" spans="1:11" ht="12.75">
      <c r="A120" s="2" t="s">
        <v>13</v>
      </c>
      <c r="B120" s="2" t="s">
        <v>4</v>
      </c>
      <c r="C120" s="2" t="s">
        <v>4</v>
      </c>
      <c r="D120" s="2" t="s">
        <v>76</v>
      </c>
      <c r="I120" s="4" t="s">
        <v>86</v>
      </c>
      <c r="J120" s="4"/>
      <c r="K120" s="4"/>
    </row>
    <row r="121" spans="1:13" ht="12.75">
      <c r="A121" s="2" t="s">
        <v>35</v>
      </c>
      <c r="B121" s="2" t="s">
        <v>4</v>
      </c>
      <c r="C121" s="2" t="s">
        <v>4</v>
      </c>
      <c r="D121" s="2" t="s">
        <v>81</v>
      </c>
      <c r="I121" s="3" t="s">
        <v>22</v>
      </c>
      <c r="J121" s="3"/>
      <c r="K121" s="3"/>
      <c r="L121" s="3"/>
      <c r="M121" s="3"/>
    </row>
    <row r="122" spans="1:13" ht="12.75">
      <c r="A122" s="2" t="s">
        <v>10</v>
      </c>
      <c r="B122" s="2">
        <v>0</v>
      </c>
      <c r="C122" s="2">
        <f>1/5.5</f>
        <v>0.18181818181818182</v>
      </c>
      <c r="D122" s="2">
        <f>4.5/5.5</f>
        <v>0.8181818181818182</v>
      </c>
      <c r="I122" s="3" t="s">
        <v>82</v>
      </c>
      <c r="J122" s="3"/>
      <c r="K122" s="3"/>
      <c r="L122" s="3"/>
      <c r="M122" s="3"/>
    </row>
    <row r="123" spans="1:11" ht="12.75">
      <c r="A123" s="2" t="s">
        <v>11</v>
      </c>
      <c r="B123" s="2">
        <v>-100</v>
      </c>
      <c r="C123" s="2">
        <v>-100</v>
      </c>
      <c r="D123" s="2">
        <v>0</v>
      </c>
      <c r="I123" s="4"/>
      <c r="J123" s="4"/>
      <c r="K123" s="4"/>
    </row>
    <row r="124" spans="1:11" ht="12.75">
      <c r="A124" s="2" t="s">
        <v>17</v>
      </c>
      <c r="C124" s="2">
        <f>-C122*SUM(C123:D123)</f>
        <v>18.181818181818183</v>
      </c>
      <c r="D124" s="2">
        <f>-D122*SUM(C123:D123)</f>
        <v>81.81818181818183</v>
      </c>
      <c r="I124" s="4" t="s">
        <v>83</v>
      </c>
      <c r="J124" s="4"/>
      <c r="K124" s="4"/>
    </row>
    <row r="125" spans="1:11" ht="12.75">
      <c r="A125" s="2" t="s">
        <v>18</v>
      </c>
      <c r="B125" s="2">
        <f>C124/2</f>
        <v>9.090909090909092</v>
      </c>
      <c r="I125" s="4" t="s">
        <v>84</v>
      </c>
      <c r="J125" s="4"/>
      <c r="K125" s="4"/>
    </row>
    <row r="126" spans="1:11" ht="12.75">
      <c r="A126" s="2" t="s">
        <v>99</v>
      </c>
      <c r="B126" s="2">
        <f>SUM(B123:B125)</f>
        <v>-90.9090909090909</v>
      </c>
      <c r="C126" s="2">
        <f>SUM(C123:C125)</f>
        <v>-81.81818181818181</v>
      </c>
      <c r="D126" s="2">
        <f>SUM(D123:D125)</f>
        <v>81.81818181818183</v>
      </c>
      <c r="E126" s="2">
        <f>D126</f>
        <v>81.81818181818183</v>
      </c>
      <c r="G126" s="2">
        <f>C126</f>
        <v>-81.81818181818181</v>
      </c>
      <c r="H126" s="2">
        <f>B126</f>
        <v>-90.9090909090909</v>
      </c>
      <c r="I126" s="4" t="s">
        <v>85</v>
      </c>
      <c r="J126" s="4"/>
      <c r="K126" s="4"/>
    </row>
    <row r="127" spans="9:11" ht="12.75">
      <c r="I127" s="4"/>
      <c r="J127" s="4"/>
      <c r="K127" s="4"/>
    </row>
    <row r="128" spans="1:11" ht="12.75">
      <c r="A128" s="2" t="s">
        <v>100</v>
      </c>
      <c r="B128" s="2">
        <f>-(B126+C126)/15</f>
        <v>11.515151515151514</v>
      </c>
      <c r="C128" s="2" t="s">
        <v>95</v>
      </c>
      <c r="I128" s="4" t="s">
        <v>91</v>
      </c>
      <c r="J128" s="4"/>
      <c r="K128" s="4"/>
    </row>
    <row r="129" spans="1:11" ht="12.75">
      <c r="A129" s="2" t="s">
        <v>101</v>
      </c>
      <c r="B129" s="2">
        <f>-(B126+C126)/15</f>
        <v>11.515151515151514</v>
      </c>
      <c r="C129" s="2" t="s">
        <v>96</v>
      </c>
      <c r="I129" s="4"/>
      <c r="J129" s="4"/>
      <c r="K129" s="4"/>
    </row>
    <row r="130" spans="1:11" ht="12.75">
      <c r="A130" s="2" t="s">
        <v>102</v>
      </c>
      <c r="B130" s="2">
        <f>B128+B129</f>
        <v>23.030303030303028</v>
      </c>
      <c r="C130" s="2" t="s">
        <v>97</v>
      </c>
      <c r="I130" s="4"/>
      <c r="J130" s="4"/>
      <c r="K130" s="4"/>
    </row>
    <row r="131" spans="9:11" ht="12.75">
      <c r="I131" s="4"/>
      <c r="J131" s="4"/>
      <c r="K131" s="4"/>
    </row>
    <row r="132" spans="1:11" ht="12.75">
      <c r="A132" s="2" t="s">
        <v>103</v>
      </c>
      <c r="B132" s="2">
        <f>B112+(-B116)/B130*B126</f>
        <v>-70.08880838455514</v>
      </c>
      <c r="C132" s="2">
        <f>C112+(-B116)/B130*C126</f>
        <v>36.83272273707807</v>
      </c>
      <c r="D132" s="2">
        <f>D112+(-B116)/B130*D126</f>
        <v>-36.83272273707807</v>
      </c>
      <c r="E132" s="2">
        <f>E112+(-B116)/B130*E126</f>
        <v>331.80491813651304</v>
      </c>
      <c r="F132" s="2">
        <f>F112</f>
        <v>-250</v>
      </c>
      <c r="G132" s="2">
        <f>G112+(-B116)/B130*G126</f>
        <v>-81.80491813651302</v>
      </c>
      <c r="H132" s="2">
        <f>H112+(-B116)/B130*H126</f>
        <v>-84.93899621600995</v>
      </c>
      <c r="I132" s="4" t="s">
        <v>104</v>
      </c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2" t="s">
        <v>113</v>
      </c>
      <c r="I137" s="4"/>
      <c r="J137" s="4"/>
      <c r="K137" s="4"/>
    </row>
    <row r="138" spans="1:11" ht="12.75">
      <c r="A138" s="2" t="s">
        <v>193</v>
      </c>
      <c r="I138" s="4" t="s">
        <v>118</v>
      </c>
      <c r="J138" s="4"/>
      <c r="K138" s="4"/>
    </row>
    <row r="139" spans="1:11" ht="12.75">
      <c r="A139" s="2" t="s">
        <v>105</v>
      </c>
      <c r="B139" s="2" t="s">
        <v>1</v>
      </c>
      <c r="C139" s="2" t="s">
        <v>2</v>
      </c>
      <c r="D139" s="2" t="s">
        <v>2</v>
      </c>
      <c r="E139" s="2" t="s">
        <v>3</v>
      </c>
      <c r="F139" s="2" t="s">
        <v>3</v>
      </c>
      <c r="G139" s="2" t="s">
        <v>42</v>
      </c>
      <c r="I139" s="4" t="s">
        <v>132</v>
      </c>
      <c r="J139" s="4"/>
      <c r="K139" s="4"/>
    </row>
    <row r="140" spans="1:11" ht="12.75">
      <c r="A140" s="2" t="s">
        <v>106</v>
      </c>
      <c r="B140" s="2" t="s">
        <v>6</v>
      </c>
      <c r="C140" s="2" t="s">
        <v>7</v>
      </c>
      <c r="D140" s="2" t="s">
        <v>8</v>
      </c>
      <c r="E140" s="2" t="s">
        <v>9</v>
      </c>
      <c r="F140" s="2" t="s">
        <v>46</v>
      </c>
      <c r="G140" s="2" t="s">
        <v>48</v>
      </c>
      <c r="I140" s="4" t="s">
        <v>135</v>
      </c>
      <c r="J140" s="4"/>
      <c r="K140" s="4"/>
    </row>
    <row r="141" spans="1:11" ht="12.75">
      <c r="A141" s="2" t="s">
        <v>107</v>
      </c>
      <c r="B141" s="2">
        <v>1</v>
      </c>
      <c r="C141" s="2">
        <v>1</v>
      </c>
      <c r="D141" s="2">
        <v>1</v>
      </c>
      <c r="E141" s="2">
        <v>1</v>
      </c>
      <c r="F141" s="2">
        <v>1</v>
      </c>
      <c r="G141" s="2">
        <v>1</v>
      </c>
      <c r="I141" s="4" t="s">
        <v>136</v>
      </c>
      <c r="J141" s="4"/>
      <c r="K141" s="4"/>
    </row>
    <row r="142" spans="1:11" ht="12.75">
      <c r="A142" s="2" t="s">
        <v>35</v>
      </c>
      <c r="C142" s="2">
        <v>0.75</v>
      </c>
      <c r="D142" s="2">
        <v>0.5</v>
      </c>
      <c r="I142" s="4"/>
      <c r="J142" s="4"/>
      <c r="K142" s="4"/>
    </row>
    <row r="143" spans="1:11" ht="12.75">
      <c r="A143" s="2" t="s">
        <v>10</v>
      </c>
      <c r="C143" s="2">
        <f>(C142)/SUM(C142:D142)</f>
        <v>0.6</v>
      </c>
      <c r="D143" s="2">
        <f>D142/SUM(C142:D142)</f>
        <v>0.4</v>
      </c>
      <c r="I143" s="4"/>
      <c r="J143" s="4"/>
      <c r="K143" s="4"/>
    </row>
    <row r="144" spans="1:11" ht="12.75">
      <c r="A144" s="2" t="s">
        <v>11</v>
      </c>
      <c r="C144" s="2">
        <v>0</v>
      </c>
      <c r="D144" s="2">
        <f>-8*10/8</f>
        <v>-10</v>
      </c>
      <c r="I144" s="4"/>
      <c r="J144" s="4"/>
      <c r="K144" s="4"/>
    </row>
    <row r="145" spans="1:11" ht="12.75">
      <c r="A145" s="2" t="s">
        <v>109</v>
      </c>
      <c r="C145" s="2">
        <f>-C143*(C144+D144)</f>
        <v>6</v>
      </c>
      <c r="D145" s="2">
        <f>-D143*(C144+D144)</f>
        <v>4</v>
      </c>
      <c r="I145" s="4"/>
      <c r="J145" s="4"/>
      <c r="K145" s="4"/>
    </row>
    <row r="146" spans="1:11" ht="12.75">
      <c r="A146" s="2" t="s">
        <v>110</v>
      </c>
      <c r="B146" s="2">
        <v>0</v>
      </c>
      <c r="C146" s="2">
        <f>SUM(C144:C145)</f>
        <v>6</v>
      </c>
      <c r="D146" s="2">
        <f>SUM(D144:D145)</f>
        <v>-6</v>
      </c>
      <c r="E146" s="2">
        <f>-D146</f>
        <v>6</v>
      </c>
      <c r="F146" s="2">
        <f>-E146</f>
        <v>-6</v>
      </c>
      <c r="G146" s="2">
        <v>0</v>
      </c>
      <c r="I146" s="4"/>
      <c r="J146" s="4"/>
      <c r="K146" s="4"/>
    </row>
    <row r="147" spans="9:11" ht="12.75">
      <c r="I147" s="4"/>
      <c r="J147" s="4"/>
      <c r="K147" s="4"/>
    </row>
    <row r="148" spans="9:11" ht="12.75">
      <c r="I148" s="4"/>
      <c r="J148" s="4"/>
      <c r="K148" s="4"/>
    </row>
    <row r="149" spans="9:11" ht="12.75">
      <c r="I149" s="4"/>
      <c r="J149" s="4"/>
      <c r="K149" s="4"/>
    </row>
    <row r="150" spans="1:11" ht="12.75">
      <c r="A150" s="2" t="s">
        <v>108</v>
      </c>
      <c r="B150" s="2" t="s">
        <v>108</v>
      </c>
      <c r="C150" s="2" t="s">
        <v>108</v>
      </c>
      <c r="I150" s="4" t="s">
        <v>117</v>
      </c>
      <c r="J150" s="4"/>
      <c r="K150" s="4"/>
    </row>
    <row r="151" spans="1:11" ht="12.75">
      <c r="A151" s="2" t="s">
        <v>105</v>
      </c>
      <c r="B151" s="2" t="s">
        <v>1</v>
      </c>
      <c r="C151" s="2" t="s">
        <v>2</v>
      </c>
      <c r="D151" s="2" t="s">
        <v>2</v>
      </c>
      <c r="E151" s="2" t="s">
        <v>3</v>
      </c>
      <c r="F151" s="2" t="s">
        <v>3</v>
      </c>
      <c r="G151" s="2" t="s">
        <v>42</v>
      </c>
      <c r="I151" s="4" t="s">
        <v>133</v>
      </c>
      <c r="J151" s="4"/>
      <c r="K151" s="4"/>
    </row>
    <row r="152" spans="1:11" ht="12.75">
      <c r="A152" s="2" t="s">
        <v>106</v>
      </c>
      <c r="B152" s="2" t="s">
        <v>6</v>
      </c>
      <c r="C152" s="2" t="s">
        <v>7</v>
      </c>
      <c r="D152" s="2" t="s">
        <v>8</v>
      </c>
      <c r="E152" s="2" t="s">
        <v>9</v>
      </c>
      <c r="F152" s="2" t="s">
        <v>46</v>
      </c>
      <c r="G152" s="2" t="s">
        <v>48</v>
      </c>
      <c r="I152" s="4" t="s">
        <v>123</v>
      </c>
      <c r="J152" s="4"/>
      <c r="K152" s="4"/>
    </row>
    <row r="153" spans="1:11" ht="12.75">
      <c r="A153" s="2" t="s">
        <v>111</v>
      </c>
      <c r="B153" s="2">
        <v>1</v>
      </c>
      <c r="C153" s="2">
        <v>1</v>
      </c>
      <c r="D153" s="2">
        <v>1</v>
      </c>
      <c r="E153" s="2">
        <v>1</v>
      </c>
      <c r="F153" s="2">
        <v>1</v>
      </c>
      <c r="G153" s="2">
        <v>1</v>
      </c>
      <c r="I153" s="4" t="s">
        <v>134</v>
      </c>
      <c r="J153" s="4"/>
      <c r="K153" s="4"/>
    </row>
    <row r="154" spans="1:11" ht="12.75">
      <c r="A154" s="2" t="s">
        <v>35</v>
      </c>
      <c r="C154" s="2">
        <v>0.75</v>
      </c>
      <c r="D154" s="2">
        <v>1.5</v>
      </c>
      <c r="E154" s="2" t="s">
        <v>108</v>
      </c>
      <c r="I154" s="4"/>
      <c r="J154" s="4"/>
      <c r="K154" s="4"/>
    </row>
    <row r="155" spans="1:11" ht="12.75">
      <c r="A155" s="2" t="s">
        <v>10</v>
      </c>
      <c r="C155" s="2">
        <f>C154/(C154+D154)</f>
        <v>0.3333333333333333</v>
      </c>
      <c r="D155" s="2">
        <f>D154/(C154+D154)</f>
        <v>0.6666666666666666</v>
      </c>
      <c r="I155" s="4"/>
      <c r="J155" s="4"/>
      <c r="K155" s="4"/>
    </row>
    <row r="156" spans="1:11" ht="12.75">
      <c r="A156" s="2" t="s">
        <v>11</v>
      </c>
      <c r="C156" s="2">
        <v>-100</v>
      </c>
      <c r="D156" s="2">
        <v>240</v>
      </c>
      <c r="I156" s="4" t="s">
        <v>120</v>
      </c>
      <c r="J156" s="4"/>
      <c r="K156" s="4"/>
    </row>
    <row r="157" spans="1:11" ht="12.75">
      <c r="A157" s="2" t="s">
        <v>109</v>
      </c>
      <c r="C157" s="2">
        <f>-C155*(C156+D156)</f>
        <v>-46.666666666666664</v>
      </c>
      <c r="D157" s="2">
        <f>-D155*(C156+D156)</f>
        <v>-93.33333333333333</v>
      </c>
      <c r="I157" s="4" t="s">
        <v>119</v>
      </c>
      <c r="J157" s="4"/>
      <c r="K157" s="4"/>
    </row>
    <row r="158" spans="1:11" ht="12.75">
      <c r="A158" s="2" t="s">
        <v>112</v>
      </c>
      <c r="B158" s="2">
        <v>0</v>
      </c>
      <c r="C158" s="2">
        <f>C156+C157</f>
        <v>-146.66666666666666</v>
      </c>
      <c r="D158" s="2">
        <f>D156+D157</f>
        <v>146.66666666666669</v>
      </c>
      <c r="E158" s="2">
        <f>D158</f>
        <v>146.66666666666669</v>
      </c>
      <c r="F158" s="2">
        <f>-E158</f>
        <v>-146.66666666666669</v>
      </c>
      <c r="G158" s="2">
        <v>0</v>
      </c>
      <c r="I158" s="4" t="s">
        <v>121</v>
      </c>
      <c r="J158" s="4"/>
      <c r="K158" s="4"/>
    </row>
    <row r="159" spans="1:11" ht="12.75">
      <c r="A159" s="2" t="s">
        <v>114</v>
      </c>
      <c r="B159" s="2">
        <f>-(B158+C158)/10</f>
        <v>14.666666666666666</v>
      </c>
      <c r="I159" s="4" t="s">
        <v>122</v>
      </c>
      <c r="J159" s="4"/>
      <c r="K159" s="4"/>
    </row>
    <row r="160" spans="1:11" ht="12.75">
      <c r="A160" s="2" t="s">
        <v>115</v>
      </c>
      <c r="B160" s="2">
        <f>-(G158+F158)/10</f>
        <v>14.666666666666668</v>
      </c>
      <c r="I160" s="4" t="s">
        <v>161</v>
      </c>
      <c r="J160" s="4"/>
      <c r="K160" s="4"/>
    </row>
    <row r="161" spans="1:11" ht="12.75">
      <c r="A161" s="2" t="s">
        <v>159</v>
      </c>
      <c r="B161" s="2">
        <f>(B159+B160)*(10+5/(3/5))/5/(4/3)</f>
        <v>80.6666666666667</v>
      </c>
      <c r="I161" s="4"/>
      <c r="J161" s="4"/>
      <c r="K161" s="4"/>
    </row>
    <row r="162" spans="1:11" ht="12.75">
      <c r="A162" s="2" t="s">
        <v>152</v>
      </c>
      <c r="B162" s="2">
        <f>20/B161</f>
        <v>0.24793388429752056</v>
      </c>
      <c r="I162" s="4" t="s">
        <v>160</v>
      </c>
      <c r="J162" s="4"/>
      <c r="K162" s="4"/>
    </row>
    <row r="163" spans="1:11" ht="12.75">
      <c r="A163" s="2" t="s">
        <v>103</v>
      </c>
      <c r="B163" s="2">
        <f>B146+B162*B158</f>
        <v>0</v>
      </c>
      <c r="C163" s="2">
        <f>C146+B162*C158</f>
        <v>-30.363636363636346</v>
      </c>
      <c r="D163" s="2">
        <f>D146+B162*D158</f>
        <v>30.363636363636353</v>
      </c>
      <c r="E163" s="2">
        <f>E146+B162*E158</f>
        <v>42.36363636363635</v>
      </c>
      <c r="F163" s="2">
        <f>F146+B162*F158</f>
        <v>-42.36363636363635</v>
      </c>
      <c r="G163" s="2">
        <f>G146+G162*G158</f>
        <v>0</v>
      </c>
      <c r="I163" s="4" t="s">
        <v>162</v>
      </c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1:11" ht="12.75">
      <c r="A166" s="2" t="s">
        <v>105</v>
      </c>
      <c r="B166" s="2" t="s">
        <v>1</v>
      </c>
      <c r="C166" s="2" t="s">
        <v>2</v>
      </c>
      <c r="D166" s="2" t="s">
        <v>2</v>
      </c>
      <c r="E166" s="2" t="s">
        <v>3</v>
      </c>
      <c r="F166" s="2" t="s">
        <v>3</v>
      </c>
      <c r="G166" s="2" t="s">
        <v>42</v>
      </c>
      <c r="I166" s="4" t="s">
        <v>124</v>
      </c>
      <c r="J166" s="4"/>
      <c r="K166" s="4"/>
    </row>
    <row r="167" spans="1:11" ht="12.75">
      <c r="A167" s="2" t="s">
        <v>106</v>
      </c>
      <c r="B167" s="2" t="s">
        <v>6</v>
      </c>
      <c r="C167" s="2" t="s">
        <v>7</v>
      </c>
      <c r="D167" s="2" t="s">
        <v>8</v>
      </c>
      <c r="E167" s="2" t="s">
        <v>9</v>
      </c>
      <c r="F167" s="2" t="s">
        <v>46</v>
      </c>
      <c r="G167" s="2" t="s">
        <v>48</v>
      </c>
      <c r="I167" s="4" t="s">
        <v>125</v>
      </c>
      <c r="J167" s="4"/>
      <c r="K167" s="4"/>
    </row>
    <row r="168" spans="1:11" ht="12.75">
      <c r="A168" s="2" t="s">
        <v>107</v>
      </c>
      <c r="B168" s="2">
        <v>1</v>
      </c>
      <c r="C168" s="2">
        <v>1</v>
      </c>
      <c r="D168" s="2">
        <v>1</v>
      </c>
      <c r="E168" s="2">
        <v>1</v>
      </c>
      <c r="F168" s="2">
        <v>1</v>
      </c>
      <c r="G168" s="2">
        <v>1</v>
      </c>
      <c r="I168" s="4"/>
      <c r="J168" s="4"/>
      <c r="K168" s="4"/>
    </row>
    <row r="169" spans="1:11" ht="12.75">
      <c r="A169" s="2" t="s">
        <v>35</v>
      </c>
      <c r="C169" s="2">
        <v>0.75</v>
      </c>
      <c r="D169" s="2">
        <v>1</v>
      </c>
      <c r="E169" s="2">
        <v>1</v>
      </c>
      <c r="F169" s="2">
        <v>0.75</v>
      </c>
      <c r="I169" s="4"/>
      <c r="J169" s="4"/>
      <c r="K169" s="4"/>
    </row>
    <row r="170" spans="1:11" ht="12.75">
      <c r="A170" s="2" t="s">
        <v>10</v>
      </c>
      <c r="C170" s="2">
        <f>C169/(C169+D169)</f>
        <v>0.42857142857142855</v>
      </c>
      <c r="D170" s="2">
        <f>D169/(C169+D169)</f>
        <v>0.5714285714285714</v>
      </c>
      <c r="E170" s="2">
        <f>E169/(E169+F169)</f>
        <v>0.5714285714285714</v>
      </c>
      <c r="F170" s="2">
        <f>F169/(E169+F169)</f>
        <v>0.42857142857142855</v>
      </c>
      <c r="I170" s="4"/>
      <c r="J170" s="4"/>
      <c r="K170" s="4"/>
    </row>
    <row r="171" spans="1:11" ht="12.75">
      <c r="A171" s="2" t="s">
        <v>11</v>
      </c>
      <c r="C171" s="2">
        <v>-100</v>
      </c>
      <c r="D171" s="2">
        <v>240</v>
      </c>
      <c r="E171" s="2">
        <v>240</v>
      </c>
      <c r="F171" s="2">
        <v>-100</v>
      </c>
      <c r="I171" s="4"/>
      <c r="J171" s="4"/>
      <c r="K171" s="4"/>
    </row>
    <row r="172" spans="1:11" ht="12.75">
      <c r="A172" s="2" t="s">
        <v>17</v>
      </c>
      <c r="C172" s="2">
        <f>-C170*(C171+D171)</f>
        <v>-60</v>
      </c>
      <c r="D172" s="2">
        <f>-D170*(C171+D171)</f>
        <v>-80</v>
      </c>
      <c r="E172" s="2">
        <f>-E170*(E171+F171)</f>
        <v>-80</v>
      </c>
      <c r="F172" s="2">
        <f>-F170*(E171+F171)</f>
        <v>-60</v>
      </c>
      <c r="I172" s="4"/>
      <c r="J172" s="4"/>
      <c r="K172" s="4"/>
    </row>
    <row r="173" spans="1:11" ht="12.75">
      <c r="A173" s="2" t="s">
        <v>18</v>
      </c>
      <c r="B173" s="2" t="s">
        <v>108</v>
      </c>
      <c r="D173" s="2">
        <f>E172/2</f>
        <v>-40</v>
      </c>
      <c r="E173" s="2">
        <f>D172/2</f>
        <v>-40</v>
      </c>
      <c r="I173" s="4"/>
      <c r="J173" s="4"/>
      <c r="K173" s="4"/>
    </row>
    <row r="174" spans="1:11" ht="12.75">
      <c r="A174" s="2" t="s">
        <v>17</v>
      </c>
      <c r="C174" s="2">
        <f>-C170*(C173+D173)</f>
        <v>17.142857142857142</v>
      </c>
      <c r="D174" s="2">
        <f>-D170*(C173+D173)</f>
        <v>22.857142857142854</v>
      </c>
      <c r="E174" s="2">
        <f>-E170*(E173+F173)</f>
        <v>22.857142857142854</v>
      </c>
      <c r="F174" s="2">
        <f>-F170*(E173+F173)</f>
        <v>17.142857142857142</v>
      </c>
      <c r="I174" s="4"/>
      <c r="J174" s="4"/>
      <c r="K174" s="4"/>
    </row>
    <row r="175" spans="1:11" ht="12.75">
      <c r="A175" s="2" t="s">
        <v>18</v>
      </c>
      <c r="D175" s="2">
        <f>E174/2</f>
        <v>11.428571428571427</v>
      </c>
      <c r="E175" s="2">
        <f>D174/2</f>
        <v>11.428571428571427</v>
      </c>
      <c r="I175" s="4"/>
      <c r="J175" s="4"/>
      <c r="K175" s="4"/>
    </row>
    <row r="176" spans="1:11" ht="12.75">
      <c r="A176" s="2" t="s">
        <v>17</v>
      </c>
      <c r="C176" s="2">
        <f>-C170*(C175+D175)</f>
        <v>-4.897959183673469</v>
      </c>
      <c r="D176" s="2">
        <f>-D170*(C175+D175)</f>
        <v>-6.5306122448979576</v>
      </c>
      <c r="E176" s="2">
        <f>-E170*(E175+F175)</f>
        <v>-6.5306122448979576</v>
      </c>
      <c r="F176" s="2">
        <f>-F170*(E175+F175)</f>
        <v>-4.897959183673469</v>
      </c>
      <c r="I176" s="4"/>
      <c r="J176" s="4"/>
      <c r="K176" s="4"/>
    </row>
    <row r="177" spans="1:11" ht="12.75">
      <c r="A177" s="2" t="s">
        <v>18</v>
      </c>
      <c r="D177" s="2">
        <f>E176/2</f>
        <v>-3.2653061224489788</v>
      </c>
      <c r="E177" s="2">
        <f>D176/2</f>
        <v>-3.2653061224489788</v>
      </c>
      <c r="I177" s="4"/>
      <c r="J177" s="4"/>
      <c r="K177" s="4"/>
    </row>
    <row r="178" spans="1:11" ht="12.75">
      <c r="A178" s="2" t="s">
        <v>17</v>
      </c>
      <c r="C178" s="2">
        <f>-C170*(C177+D177)</f>
        <v>1.3994169096209907</v>
      </c>
      <c r="D178" s="2">
        <f>-D170*(C177+D177)</f>
        <v>1.8658892128279878</v>
      </c>
      <c r="E178" s="2">
        <f>-E170*(E177+F177)</f>
        <v>1.8658892128279878</v>
      </c>
      <c r="F178" s="2">
        <f>-F170*(E177+F177)</f>
        <v>1.3994169096209907</v>
      </c>
      <c r="I178" s="4"/>
      <c r="J178" s="4"/>
      <c r="K178" s="4"/>
    </row>
    <row r="179" spans="1:11" ht="12.75">
      <c r="A179" s="2" t="s">
        <v>18</v>
      </c>
      <c r="D179" s="2">
        <f>E178/2</f>
        <v>0.9329446064139939</v>
      </c>
      <c r="E179" s="2">
        <f>D178/2</f>
        <v>0.9329446064139939</v>
      </c>
      <c r="I179" s="4"/>
      <c r="J179" s="4"/>
      <c r="K179" s="4"/>
    </row>
    <row r="180" spans="1:11" ht="12.75">
      <c r="A180" s="2" t="s">
        <v>17</v>
      </c>
      <c r="C180" s="2">
        <f>-C170*(C179+D179)</f>
        <v>-0.3998334027488545</v>
      </c>
      <c r="D180" s="2">
        <f>-D170*(C179+D179)</f>
        <v>-0.5331112036651393</v>
      </c>
      <c r="E180" s="2">
        <f>-E170*(E179+F179)</f>
        <v>-0.5331112036651393</v>
      </c>
      <c r="F180" s="2">
        <f>-F170*(E179+F179)</f>
        <v>-0.3998334027488545</v>
      </c>
      <c r="I180" s="4"/>
      <c r="J180" s="4"/>
      <c r="K180" s="4"/>
    </row>
    <row r="181" spans="1:11" ht="12.75">
      <c r="A181" s="2" t="s">
        <v>18</v>
      </c>
      <c r="D181" s="2">
        <f>E180/2</f>
        <v>-0.26655560183256966</v>
      </c>
      <c r="E181" s="2">
        <f>D180/2</f>
        <v>-0.26655560183256966</v>
      </c>
      <c r="I181" s="4"/>
      <c r="J181" s="4"/>
      <c r="K181" s="4"/>
    </row>
    <row r="182" spans="2:11" ht="12.75">
      <c r="B182" s="2">
        <f aca="true" t="shared" si="3" ref="B182:G182">SUM(B171:B181)</f>
        <v>0</v>
      </c>
      <c r="C182" s="2">
        <f t="shared" si="3"/>
        <v>-146.7555185339442</v>
      </c>
      <c r="D182" s="2">
        <f t="shared" si="3"/>
        <v>146.48896293211163</v>
      </c>
      <c r="E182" s="2">
        <f t="shared" si="3"/>
        <v>146.48896293211163</v>
      </c>
      <c r="F182" s="2">
        <f t="shared" si="3"/>
        <v>-146.7555185339442</v>
      </c>
      <c r="G182" s="2">
        <f t="shared" si="3"/>
        <v>0</v>
      </c>
      <c r="I182" s="4" t="s">
        <v>126</v>
      </c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9:11" ht="12.75">
      <c r="I185" s="4" t="s">
        <v>137</v>
      </c>
      <c r="J185" s="4"/>
      <c r="K185" s="4"/>
    </row>
    <row r="186" spans="1:11" ht="12.75">
      <c r="A186" s="2" t="s">
        <v>114</v>
      </c>
      <c r="B186" s="2">
        <f>-(B146+C146)/10</f>
        <v>-0.6</v>
      </c>
      <c r="I186" s="4" t="s">
        <v>138</v>
      </c>
      <c r="J186" s="4"/>
      <c r="K186" s="4"/>
    </row>
    <row r="187" spans="1:11" ht="12.75">
      <c r="A187" s="2" t="s">
        <v>115</v>
      </c>
      <c r="B187" s="2">
        <f>-(G146+F146)/10</f>
        <v>0.6</v>
      </c>
      <c r="I187" s="4" t="s">
        <v>139</v>
      </c>
      <c r="J187" s="4"/>
      <c r="K187" s="4"/>
    </row>
    <row r="188" spans="1:11" ht="12.75">
      <c r="A188" s="2" t="s">
        <v>116</v>
      </c>
      <c r="B188" s="2">
        <f>-(B186+B187)*(10+5/(3/5))/5/(4/3)+20</f>
        <v>20</v>
      </c>
      <c r="I188" s="4" t="s">
        <v>122</v>
      </c>
      <c r="J188" s="4"/>
      <c r="K188" s="4"/>
    </row>
    <row r="189" spans="1:11" ht="12.75">
      <c r="A189" s="2" t="s">
        <v>127</v>
      </c>
      <c r="B189" s="2">
        <f>(-(B186+B187)*(10+5/(3/5))+20*5*4/3)/(5/(3/5))</f>
        <v>16</v>
      </c>
      <c r="I189" s="4" t="s">
        <v>128</v>
      </c>
      <c r="J189" s="4"/>
      <c r="K189" s="4"/>
    </row>
    <row r="190" spans="9:11" ht="12.75">
      <c r="I190" s="4" t="s">
        <v>129</v>
      </c>
      <c r="J190" s="4"/>
      <c r="K190" s="4"/>
    </row>
    <row r="191" spans="9:11" ht="12.75">
      <c r="I191" s="4" t="s">
        <v>130</v>
      </c>
      <c r="J191" s="4"/>
      <c r="K191" s="4"/>
    </row>
    <row r="192" spans="9:11" ht="12.75">
      <c r="I192" s="4" t="s">
        <v>131</v>
      </c>
      <c r="J192" s="4"/>
      <c r="K192" s="4"/>
    </row>
    <row r="193" spans="9:11" ht="12.75">
      <c r="I193" s="4"/>
      <c r="J193" s="4"/>
      <c r="K193" s="4"/>
    </row>
    <row r="194" spans="1:11" ht="12.75">
      <c r="A194" s="2" t="s">
        <v>147</v>
      </c>
      <c r="B194" s="2">
        <f>(B159+B160)*(10+5/(3/5))/(5*4/3)</f>
        <v>80.66666666666669</v>
      </c>
      <c r="I194" s="4" t="s">
        <v>140</v>
      </c>
      <c r="J194" s="4"/>
      <c r="K194" s="4"/>
    </row>
    <row r="195" spans="1:11" ht="12.75">
      <c r="A195" s="2" t="s">
        <v>148</v>
      </c>
      <c r="B195" s="2">
        <f>(B159+B160)*(10+5/(3/5))/(5/(3/5))</f>
        <v>64.53333333333335</v>
      </c>
      <c r="I195" s="4" t="s">
        <v>141</v>
      </c>
      <c r="J195" s="4"/>
      <c r="K195" s="4"/>
    </row>
    <row r="196" spans="9:11" ht="12.75">
      <c r="I196" s="4" t="s">
        <v>142</v>
      </c>
      <c r="J196" s="4"/>
      <c r="K196" s="4"/>
    </row>
    <row r="197" spans="9:11" ht="12.75">
      <c r="I197" s="4" t="s">
        <v>143</v>
      </c>
      <c r="J197" s="4"/>
      <c r="K197" s="4"/>
    </row>
    <row r="198" spans="9:11" ht="12.75">
      <c r="I198" s="4" t="s">
        <v>146</v>
      </c>
      <c r="J198" s="4"/>
      <c r="K198" s="4"/>
    </row>
    <row r="199" spans="9:11" ht="12.75">
      <c r="I199" s="4" t="s">
        <v>144</v>
      </c>
      <c r="J199" s="4"/>
      <c r="K199" s="4"/>
    </row>
    <row r="200" spans="9:11" ht="12.75">
      <c r="I200" s="4" t="s">
        <v>145</v>
      </c>
      <c r="J200" s="4"/>
      <c r="K200" s="4"/>
    </row>
    <row r="201" spans="9:11" ht="12.75">
      <c r="I201" s="4"/>
      <c r="J201" s="4"/>
      <c r="K201" s="4"/>
    </row>
    <row r="202" spans="1:11" ht="12.75">
      <c r="A202" s="2" t="s">
        <v>153</v>
      </c>
      <c r="C202" s="2">
        <f>B188/B194</f>
        <v>0.2479338842975206</v>
      </c>
      <c r="I202" s="4" t="s">
        <v>149</v>
      </c>
      <c r="J202" s="4"/>
      <c r="K202" s="4"/>
    </row>
    <row r="203" spans="1:11" ht="12.75">
      <c r="A203" s="2" t="s">
        <v>154</v>
      </c>
      <c r="C203" s="2">
        <f>B189/B195</f>
        <v>0.2479338842975206</v>
      </c>
      <c r="I203" s="4" t="s">
        <v>150</v>
      </c>
      <c r="J203" s="4"/>
      <c r="K203" s="4"/>
    </row>
    <row r="204" spans="9:11" ht="12.75">
      <c r="I204" s="4" t="s">
        <v>151</v>
      </c>
      <c r="J204" s="4"/>
      <c r="K204" s="4"/>
    </row>
    <row r="205" spans="2:11" ht="12.75">
      <c r="B205" s="2">
        <f>B146+C202*B158</f>
        <v>0</v>
      </c>
      <c r="C205" s="2">
        <f>C146+C202*C158</f>
        <v>-30.363636363636353</v>
      </c>
      <c r="D205" s="2">
        <f>D146+C202*D158</f>
        <v>30.36363636363636</v>
      </c>
      <c r="E205" s="2">
        <f>E146+C202*E158</f>
        <v>42.36363636363636</v>
      </c>
      <c r="F205" s="2">
        <f>F146+C202*F158</f>
        <v>-42.36363636363636</v>
      </c>
      <c r="G205" s="2">
        <f>G146+C202*G158</f>
        <v>0</v>
      </c>
      <c r="I205" s="4" t="s">
        <v>155</v>
      </c>
      <c r="J205" s="4"/>
      <c r="K205" s="4"/>
    </row>
    <row r="206" spans="9:11" ht="12.75">
      <c r="I206" s="4" t="s">
        <v>156</v>
      </c>
      <c r="J206" s="4"/>
      <c r="K206" s="4"/>
    </row>
    <row r="207" spans="9:11" ht="12.75">
      <c r="I207" s="4" t="s">
        <v>157</v>
      </c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 t="s">
        <v>194</v>
      </c>
      <c r="B226" s="4"/>
      <c r="C226" s="4"/>
      <c r="D226" s="4"/>
      <c r="E226" s="4"/>
      <c r="F226" s="4"/>
      <c r="G226" s="4"/>
      <c r="H226" s="4"/>
      <c r="I226" s="4" t="s">
        <v>163</v>
      </c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 t="s">
        <v>166</v>
      </c>
      <c r="B228" s="2">
        <f>-(B159+B160)*(10+5/(3/5))/5</f>
        <v>-107.55555555555559</v>
      </c>
      <c r="I228" s="4" t="s">
        <v>164</v>
      </c>
      <c r="J228" s="4"/>
      <c r="K228" s="4"/>
    </row>
    <row r="229" spans="1:11" ht="12.75">
      <c r="A229" s="2" t="s">
        <v>159</v>
      </c>
      <c r="B229" s="2">
        <f>(B159+B160)*(10+5/(3/5))/(5*4/3)</f>
        <v>80.66666666666669</v>
      </c>
      <c r="I229" s="4" t="s">
        <v>165</v>
      </c>
      <c r="J229" s="4"/>
      <c r="K229" s="4"/>
    </row>
    <row r="230" spans="1:11" ht="12.75">
      <c r="A230" s="2" t="s">
        <v>103</v>
      </c>
      <c r="B230" s="2">
        <f>(20/B229+35/B228)*B158</f>
        <v>0</v>
      </c>
      <c r="C230" s="2">
        <f>(20/B229+35/B228)*C158</f>
        <v>11.363636363636354</v>
      </c>
      <c r="D230" s="2">
        <f>(20/B229+35/B228)*D158</f>
        <v>-11.363636363636356</v>
      </c>
      <c r="E230" s="2">
        <f>(20/B229+35/B228)*E158</f>
        <v>-11.363636363636356</v>
      </c>
      <c r="F230" s="2">
        <f>(20/B229+35/B228)*F158</f>
        <v>11.363636363636356</v>
      </c>
      <c r="G230" s="2">
        <f>(20/B229+35/B228)*G158</f>
        <v>0</v>
      </c>
      <c r="I230" s="4" t="s">
        <v>158</v>
      </c>
      <c r="J230" s="4"/>
      <c r="K230" s="4"/>
    </row>
    <row r="231" spans="9:11" ht="12.75">
      <c r="I231" s="4" t="s">
        <v>174</v>
      </c>
      <c r="J231" s="4"/>
      <c r="K231" s="4"/>
    </row>
    <row r="232" spans="9:11" ht="12.75">
      <c r="I232" s="4" t="s">
        <v>161</v>
      </c>
      <c r="J232" s="4"/>
      <c r="K232" s="4"/>
    </row>
    <row r="233" spans="9:11" ht="12.75">
      <c r="I233" s="4" t="s">
        <v>167</v>
      </c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9:11" ht="12.75">
      <c r="I235" s="4" t="s">
        <v>137</v>
      </c>
      <c r="J235" s="4"/>
      <c r="K235" s="4"/>
    </row>
    <row r="236" spans="1:11" ht="12.75">
      <c r="A236" s="2" t="s">
        <v>116</v>
      </c>
      <c r="B236" s="2">
        <f>-35*5/(5*4/3)+20</f>
        <v>-6.25</v>
      </c>
      <c r="I236" s="4" t="s">
        <v>168</v>
      </c>
      <c r="J236" s="4"/>
      <c r="K236" s="4"/>
    </row>
    <row r="237" spans="1:11" ht="12.75">
      <c r="A237" s="2" t="s">
        <v>127</v>
      </c>
      <c r="B237" s="2">
        <f>(20*5*4/3-35*5)/(5/(3/5))</f>
        <v>-4.999999999999998</v>
      </c>
      <c r="I237" s="4" t="s">
        <v>169</v>
      </c>
      <c r="J237" s="4"/>
      <c r="K237" s="4"/>
    </row>
    <row r="238" spans="9:11" ht="12.75">
      <c r="I238" s="4" t="s">
        <v>170</v>
      </c>
      <c r="J238" s="4"/>
      <c r="K238" s="4"/>
    </row>
    <row r="239" spans="9:11" ht="12.75">
      <c r="I239" s="4" t="s">
        <v>171</v>
      </c>
      <c r="J239" s="4"/>
      <c r="K239" s="4"/>
    </row>
    <row r="240" spans="9:11" ht="12.75">
      <c r="I240" s="4" t="s">
        <v>130</v>
      </c>
      <c r="J240" s="4"/>
      <c r="K240" s="4"/>
    </row>
    <row r="241" spans="9:11" ht="12.75">
      <c r="I241" s="4" t="s">
        <v>131</v>
      </c>
      <c r="J241" s="4"/>
      <c r="K241" s="4"/>
    </row>
    <row r="242" spans="9:11" ht="12.75">
      <c r="I242" s="4"/>
      <c r="J242" s="4"/>
      <c r="K242" s="4"/>
    </row>
    <row r="243" spans="9:11" ht="12.75">
      <c r="I243" s="4" t="s">
        <v>140</v>
      </c>
      <c r="J243" s="4"/>
      <c r="K243" s="4"/>
    </row>
    <row r="244" spans="1:11" ht="12.75">
      <c r="A244" s="2" t="s">
        <v>147</v>
      </c>
      <c r="B244" s="2">
        <f>(B159+B160)*(10+5/(3/5))/(5*4/3)</f>
        <v>80.66666666666669</v>
      </c>
      <c r="I244" s="4" t="s">
        <v>141</v>
      </c>
      <c r="J244" s="4"/>
      <c r="K244" s="4"/>
    </row>
    <row r="245" spans="1:11" ht="12.75">
      <c r="A245" s="2" t="s">
        <v>148</v>
      </c>
      <c r="B245" s="2">
        <f>(B159+B160)*(10+5/(3/5))/(5/(3/5))</f>
        <v>64.53333333333335</v>
      </c>
      <c r="I245" s="4" t="s">
        <v>172</v>
      </c>
      <c r="J245" s="4"/>
      <c r="K245" s="4"/>
    </row>
    <row r="246" spans="9:11" ht="12.75">
      <c r="I246" s="4" t="s">
        <v>146</v>
      </c>
      <c r="J246" s="4"/>
      <c r="K246" s="4"/>
    </row>
    <row r="247" spans="9:11" ht="12.75">
      <c r="I247" s="4" t="s">
        <v>144</v>
      </c>
      <c r="J247" s="4"/>
      <c r="K247" s="4"/>
    </row>
    <row r="248" spans="9:11" ht="12.75">
      <c r="I248" s="4" t="s">
        <v>182</v>
      </c>
      <c r="J248" s="4"/>
      <c r="K248" s="4"/>
    </row>
    <row r="249" spans="1:11" ht="12.75">
      <c r="A249" s="2" t="s">
        <v>152</v>
      </c>
      <c r="B249" s="2">
        <f>B236/B244</f>
        <v>-0.07747933884297518</v>
      </c>
      <c r="C249" s="2">
        <f>B237/B245</f>
        <v>-0.07747933884297517</v>
      </c>
      <c r="I249" s="4" t="s">
        <v>173</v>
      </c>
      <c r="J249" s="4"/>
      <c r="K249" s="4"/>
    </row>
    <row r="250" spans="1:11" ht="12.75">
      <c r="A250" s="2" t="s">
        <v>103</v>
      </c>
      <c r="B250" s="2">
        <f aca="true" t="shared" si="4" ref="B250:G250">B158*$B$249</f>
        <v>0</v>
      </c>
      <c r="C250" s="2">
        <f t="shared" si="4"/>
        <v>11.36363636363636</v>
      </c>
      <c r="D250" s="2">
        <f t="shared" si="4"/>
        <v>-11.363636363636362</v>
      </c>
      <c r="E250" s="2">
        <f t="shared" si="4"/>
        <v>-11.363636363636362</v>
      </c>
      <c r="F250" s="2">
        <f t="shared" si="4"/>
        <v>11.363636363636362</v>
      </c>
      <c r="G250" s="2">
        <f t="shared" si="4"/>
        <v>0</v>
      </c>
      <c r="I250" s="4" t="s">
        <v>175</v>
      </c>
      <c r="J250" s="4"/>
      <c r="K250" s="4"/>
    </row>
    <row r="251" spans="9:11" ht="12.75">
      <c r="I251" s="4" t="s">
        <v>176</v>
      </c>
      <c r="J251" s="4"/>
      <c r="K251" s="4"/>
    </row>
    <row r="252" spans="9:11" ht="12.75">
      <c r="I252" s="4" t="s">
        <v>177</v>
      </c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16" t="s">
        <v>195</v>
      </c>
      <c r="B271" s="16"/>
      <c r="C271" s="16"/>
      <c r="D271" s="16"/>
      <c r="E271" s="16"/>
      <c r="F271" s="16"/>
      <c r="G271" s="16"/>
      <c r="H271" s="16"/>
      <c r="I271" s="4" t="s">
        <v>178</v>
      </c>
      <c r="J271" s="4"/>
      <c r="K271" s="4"/>
    </row>
    <row r="272" spans="1:11" ht="12.75">
      <c r="A272" s="2" t="s">
        <v>105</v>
      </c>
      <c r="B272" s="2" t="s">
        <v>1</v>
      </c>
      <c r="C272" s="2" t="s">
        <v>2</v>
      </c>
      <c r="D272" s="2" t="s">
        <v>2</v>
      </c>
      <c r="E272" s="2" t="s">
        <v>3</v>
      </c>
      <c r="F272" s="2" t="s">
        <v>3</v>
      </c>
      <c r="G272" s="2" t="s">
        <v>42</v>
      </c>
      <c r="I272" s="4" t="s">
        <v>179</v>
      </c>
      <c r="J272" s="4"/>
      <c r="K272" s="4"/>
    </row>
    <row r="273" spans="1:11" ht="12.75">
      <c r="A273" s="2" t="s">
        <v>106</v>
      </c>
      <c r="B273" s="2" t="s">
        <v>6</v>
      </c>
      <c r="C273" s="2" t="s">
        <v>7</v>
      </c>
      <c r="D273" s="2" t="s">
        <v>8</v>
      </c>
      <c r="E273" s="2" t="s">
        <v>9</v>
      </c>
      <c r="F273" s="2" t="s">
        <v>46</v>
      </c>
      <c r="G273" s="2" t="s">
        <v>48</v>
      </c>
      <c r="I273" s="4"/>
      <c r="J273" s="4"/>
      <c r="K273" s="4"/>
    </row>
    <row r="274" spans="1:11" ht="12.75">
      <c r="A274" s="2" t="s">
        <v>35</v>
      </c>
      <c r="C274" s="2">
        <v>0.75</v>
      </c>
      <c r="D274" s="2">
        <v>1</v>
      </c>
      <c r="E274" s="2">
        <v>1</v>
      </c>
      <c r="F274" s="2">
        <v>0.75</v>
      </c>
      <c r="I274" s="4" t="s">
        <v>180</v>
      </c>
      <c r="J274" s="4"/>
      <c r="K274" s="4"/>
    </row>
    <row r="275" spans="1:11" ht="12.75">
      <c r="A275" s="2" t="s">
        <v>10</v>
      </c>
      <c r="C275" s="2">
        <f>C274/(C274+D274)</f>
        <v>0.42857142857142855</v>
      </c>
      <c r="D275" s="2">
        <f>D274/(C274+D274)</f>
        <v>0.5714285714285714</v>
      </c>
      <c r="E275" s="2">
        <f>E274/(E274+F274)</f>
        <v>0.5714285714285714</v>
      </c>
      <c r="F275" s="2">
        <f>F274/(E274+F274)</f>
        <v>0.42857142857142855</v>
      </c>
      <c r="I275" s="4"/>
      <c r="J275" s="4"/>
      <c r="K275" s="4"/>
    </row>
    <row r="276" spans="1:11" ht="12.75">
      <c r="A276" s="2" t="s">
        <v>11</v>
      </c>
      <c r="C276" s="2">
        <v>0</v>
      </c>
      <c r="D276" s="2">
        <f>-8*6^2*4/10^2</f>
        <v>-11.52</v>
      </c>
      <c r="E276" s="2">
        <f>8*4^2*6/10^2</f>
        <v>7.68</v>
      </c>
      <c r="F276" s="2">
        <v>0</v>
      </c>
      <c r="I276" s="4"/>
      <c r="J276" s="4"/>
      <c r="K276" s="4"/>
    </row>
    <row r="277" spans="1:11" ht="12.75">
      <c r="A277" s="2" t="s">
        <v>109</v>
      </c>
      <c r="C277" s="2">
        <f>-SUM(C276:D276)*$C$275</f>
        <v>4.937142857142857</v>
      </c>
      <c r="D277" s="2">
        <f>-SUM(C276:D276)*$D$275</f>
        <v>6.582857142857142</v>
      </c>
      <c r="E277" s="2">
        <f>D277/2</f>
        <v>3.291428571428571</v>
      </c>
      <c r="I277" s="4"/>
      <c r="J277" s="4"/>
      <c r="K277" s="4"/>
    </row>
    <row r="278" spans="1:11" ht="12.75">
      <c r="A278" s="2" t="s">
        <v>109</v>
      </c>
      <c r="D278" s="2">
        <f>E278/2</f>
        <v>-3.1346938775510202</v>
      </c>
      <c r="E278" s="2">
        <f>-SUM(E277,E276,F276)*$E$275</f>
        <v>-6.2693877551020405</v>
      </c>
      <c r="F278" s="2">
        <f>-SUM(E277,E276,F276)*$F$275</f>
        <v>-4.70204081632653</v>
      </c>
      <c r="I278" s="4"/>
      <c r="J278" s="4"/>
      <c r="K278" s="4"/>
    </row>
    <row r="279" spans="1:11" ht="12.75">
      <c r="A279" s="2" t="s">
        <v>109</v>
      </c>
      <c r="C279" s="2">
        <f>-SUM(C278:D278)*$C$275</f>
        <v>1.3434402332361515</v>
      </c>
      <c r="D279" s="2">
        <f>-SUM(C278:D278)*$D$275</f>
        <v>1.7912536443148686</v>
      </c>
      <c r="E279" s="2">
        <f>D279/2</f>
        <v>0.8956268221574343</v>
      </c>
      <c r="I279" s="4"/>
      <c r="J279" s="4"/>
      <c r="K279" s="4"/>
    </row>
    <row r="280" spans="1:11" ht="12.75">
      <c r="A280" s="2" t="s">
        <v>109</v>
      </c>
      <c r="D280" s="2">
        <f>E280/2</f>
        <v>-0.2558933777592669</v>
      </c>
      <c r="E280" s="2">
        <f>-SUM(E279:F279)*$E$275</f>
        <v>-0.5117867555185338</v>
      </c>
      <c r="F280" s="2">
        <f>-SUM(E279:F279)*$F$275</f>
        <v>-0.38384006663890036</v>
      </c>
      <c r="I280" s="4"/>
      <c r="J280" s="4"/>
      <c r="K280" s="4"/>
    </row>
    <row r="281" spans="1:11" ht="12.75">
      <c r="A281" s="2" t="s">
        <v>109</v>
      </c>
      <c r="C281" s="2">
        <f>-SUM(C280:D280)*$C$275</f>
        <v>0.10966859046825723</v>
      </c>
      <c r="D281" s="2">
        <f>-SUM(C280:D280)*$D$275</f>
        <v>0.14622478729100966</v>
      </c>
      <c r="E281" s="2">
        <f>D281/2</f>
        <v>0.07311239364550483</v>
      </c>
      <c r="I281" s="4"/>
      <c r="J281" s="4"/>
      <c r="K281" s="4"/>
    </row>
    <row r="282" spans="1:11" ht="12.75">
      <c r="A282" s="2" t="s">
        <v>109</v>
      </c>
      <c r="D282" s="2">
        <f>E282/2</f>
        <v>-0.020889255327287092</v>
      </c>
      <c r="E282" s="2">
        <f>-SUM(E281:F281)*$E$275</f>
        <v>-0.041778510654574184</v>
      </c>
      <c r="F282" s="2">
        <f>-SUM(E281:F281)*$F$275</f>
        <v>-0.03133388299093064</v>
      </c>
      <c r="I282" s="4"/>
      <c r="J282" s="4"/>
      <c r="K282" s="4"/>
    </row>
    <row r="283" spans="1:11" ht="12.75">
      <c r="A283" s="2" t="s">
        <v>109</v>
      </c>
      <c r="C283" s="2">
        <f>-SUM(C282:D282)*$C$275</f>
        <v>0.008952537997408753</v>
      </c>
      <c r="D283" s="2">
        <f>-SUM(C282:D282)*$D$275</f>
        <v>0.011936717329878338</v>
      </c>
      <c r="E283" s="2">
        <f>D283/2</f>
        <v>0.005968358664939169</v>
      </c>
      <c r="I283" s="4"/>
      <c r="J283" s="4"/>
      <c r="K283" s="4"/>
    </row>
    <row r="284" spans="1:11" ht="12.75">
      <c r="A284" s="2" t="s">
        <v>109</v>
      </c>
      <c r="E284" s="2">
        <f>-SUM(E283:F283)*$E$275</f>
        <v>-0.003410490665679525</v>
      </c>
      <c r="F284" s="2">
        <f>-SUM(E283:F283)*$F$275</f>
        <v>-0.0025578679992596435</v>
      </c>
      <c r="I284" s="4"/>
      <c r="J284" s="4"/>
      <c r="K284" s="4"/>
    </row>
    <row r="285" spans="1:11" ht="12.75">
      <c r="A285" s="2" t="s">
        <v>110</v>
      </c>
      <c r="B285" s="2">
        <f aca="true" t="shared" si="5" ref="B285:G285">SUM(B276:B284)</f>
        <v>0</v>
      </c>
      <c r="C285" s="2">
        <f t="shared" si="5"/>
        <v>6.399204218844675</v>
      </c>
      <c r="D285" s="2">
        <f t="shared" si="5"/>
        <v>-6.399204218844676</v>
      </c>
      <c r="E285" s="2">
        <f t="shared" si="5"/>
        <v>5.1197726339556215</v>
      </c>
      <c r="F285" s="2">
        <f t="shared" si="5"/>
        <v>-5.11977263395562</v>
      </c>
      <c r="G285" s="2">
        <f t="shared" si="5"/>
        <v>0</v>
      </c>
      <c r="I285" s="4"/>
      <c r="J285" s="4"/>
      <c r="K285" s="4"/>
    </row>
    <row r="286" spans="1:11" ht="12.75">
      <c r="A286" s="2" t="s">
        <v>114</v>
      </c>
      <c r="B286" s="2">
        <f>-(B285+C285)/10</f>
        <v>-0.6399204218844675</v>
      </c>
      <c r="I286" s="4" t="s">
        <v>183</v>
      </c>
      <c r="J286" s="4"/>
      <c r="K286" s="4"/>
    </row>
    <row r="287" spans="1:11" ht="12.75">
      <c r="A287" s="2" t="s">
        <v>181</v>
      </c>
      <c r="B287" s="2">
        <f>-(F285+G285)/10</f>
        <v>0.5119772633955619</v>
      </c>
      <c r="I287" s="4" t="s">
        <v>184</v>
      </c>
      <c r="J287" s="4"/>
      <c r="K287" s="4"/>
    </row>
    <row r="288" spans="1:11" ht="12.75">
      <c r="A288" s="2" t="s">
        <v>116</v>
      </c>
      <c r="B288" s="2">
        <f>(-(B286+B287)*(10+5/(3/5))+8*1)/(5*4/3)</f>
        <v>1.5518436858444902</v>
      </c>
      <c r="I288" s="4" t="s">
        <v>189</v>
      </c>
      <c r="J288" s="4"/>
      <c r="K288" s="4"/>
    </row>
    <row r="289" spans="1:11" ht="12.75">
      <c r="A289" s="2" t="s">
        <v>148</v>
      </c>
      <c r="B289" s="2">
        <f>(-(B286+B287)*(10+5/(3/5))+8*1)/(5/(3/5))</f>
        <v>1.241474948675592</v>
      </c>
      <c r="I289" s="4" t="s">
        <v>190</v>
      </c>
      <c r="J289" s="4"/>
      <c r="K289" s="4"/>
    </row>
    <row r="290" spans="9:11" ht="12.75">
      <c r="I290" s="4" t="s">
        <v>130</v>
      </c>
      <c r="J290" s="4"/>
      <c r="K290" s="4"/>
    </row>
    <row r="291" spans="9:11" ht="12.75">
      <c r="I291" s="4" t="s">
        <v>131</v>
      </c>
      <c r="J291" s="4"/>
      <c r="K291" s="4"/>
    </row>
    <row r="292" spans="9:11" ht="12.75">
      <c r="I292" s="4" t="s">
        <v>187</v>
      </c>
      <c r="J292" s="4"/>
      <c r="K292" s="4"/>
    </row>
    <row r="293" spans="9:11" ht="12.75">
      <c r="I293" s="4" t="s">
        <v>185</v>
      </c>
      <c r="J293" s="4"/>
      <c r="K293" s="4"/>
    </row>
    <row r="294" spans="9:11" ht="12.75">
      <c r="I294" s="4" t="s">
        <v>186</v>
      </c>
      <c r="J294" s="4"/>
      <c r="K294" s="4"/>
    </row>
    <row r="295" spans="9:11" ht="12.75">
      <c r="I295" s="4"/>
      <c r="J295" s="4"/>
      <c r="K295" s="4"/>
    </row>
    <row r="296" spans="9:11" ht="12.75">
      <c r="I296" s="4" t="s">
        <v>188</v>
      </c>
      <c r="J296" s="4"/>
      <c r="K296" s="4"/>
    </row>
    <row r="297" spans="1:11" ht="12.75">
      <c r="A297" s="2" t="s">
        <v>147</v>
      </c>
      <c r="B297" s="2">
        <f>(B159+B160)*(10+5/(3/5))/(5*4/3)</f>
        <v>80.66666666666669</v>
      </c>
      <c r="I297" s="4" t="s">
        <v>140</v>
      </c>
      <c r="J297" s="4"/>
      <c r="K297" s="4"/>
    </row>
    <row r="298" spans="1:11" ht="12.75">
      <c r="A298" s="2" t="s">
        <v>148</v>
      </c>
      <c r="B298" s="2">
        <f>(B159+B160)*(10+5/(3/5))/(5/(3/5))</f>
        <v>64.53333333333335</v>
      </c>
      <c r="I298" s="4" t="s">
        <v>141</v>
      </c>
      <c r="J298" s="4"/>
      <c r="K298" s="4"/>
    </row>
    <row r="299" spans="9:11" ht="12.75">
      <c r="I299" s="4" t="s">
        <v>142</v>
      </c>
      <c r="J299" s="4"/>
      <c r="K299" s="4"/>
    </row>
    <row r="300" spans="9:11" ht="12.75">
      <c r="I300" s="4" t="s">
        <v>143</v>
      </c>
      <c r="J300" s="4"/>
      <c r="K300" s="4"/>
    </row>
    <row r="301" spans="9:11" ht="12.75">
      <c r="I301" s="4" t="s">
        <v>146</v>
      </c>
      <c r="J301" s="4"/>
      <c r="K301" s="4"/>
    </row>
    <row r="302" spans="9:11" ht="12.75">
      <c r="I302" s="4" t="s">
        <v>144</v>
      </c>
      <c r="J302" s="4"/>
      <c r="K302" s="4"/>
    </row>
    <row r="303" spans="9:11" ht="12.75">
      <c r="I303" s="4" t="s">
        <v>145</v>
      </c>
      <c r="J303" s="4"/>
      <c r="K303" s="4"/>
    </row>
    <row r="304" spans="1:11" ht="12.75">
      <c r="A304" s="2" t="s">
        <v>152</v>
      </c>
      <c r="B304" s="2">
        <f>B288/B297</f>
        <v>0.019237731642700286</v>
      </c>
      <c r="C304" s="2">
        <f>B289/B298</f>
        <v>0.019237731642700286</v>
      </c>
      <c r="I304" s="4" t="s">
        <v>173</v>
      </c>
      <c r="J304" s="4"/>
      <c r="K304" s="4"/>
    </row>
    <row r="305" spans="1:11" ht="12.75">
      <c r="A305" s="2" t="s">
        <v>103</v>
      </c>
      <c r="B305" s="2">
        <f aca="true" t="shared" si="6" ref="B305:G305">B285+$B$304*B158</f>
        <v>0</v>
      </c>
      <c r="C305" s="2">
        <f t="shared" si="6"/>
        <v>3.5776702445819666</v>
      </c>
      <c r="D305" s="2">
        <f t="shared" si="6"/>
        <v>-3.5776702445819666</v>
      </c>
      <c r="E305" s="2">
        <f t="shared" si="6"/>
        <v>7.941306608218331</v>
      </c>
      <c r="F305" s="2">
        <f t="shared" si="6"/>
        <v>-7.941306608218329</v>
      </c>
      <c r="G305" s="2">
        <f t="shared" si="6"/>
        <v>0</v>
      </c>
      <c r="I305" s="4" t="s">
        <v>191</v>
      </c>
      <c r="J305" s="4"/>
      <c r="K305" s="4"/>
    </row>
    <row r="306" spans="9:11" ht="12.75">
      <c r="I306" s="4" t="s">
        <v>192</v>
      </c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 t="s">
        <v>196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2" t="s">
        <v>105</v>
      </c>
      <c r="B317" s="2" t="s">
        <v>1</v>
      </c>
      <c r="C317" s="2" t="s">
        <v>2</v>
      </c>
      <c r="D317" s="2" t="s">
        <v>2</v>
      </c>
      <c r="E317" s="2" t="s">
        <v>3</v>
      </c>
      <c r="F317" s="2" t="s">
        <v>3</v>
      </c>
      <c r="G317" s="2" t="s">
        <v>42</v>
      </c>
      <c r="H317" s="2" t="s">
        <v>42</v>
      </c>
      <c r="I317" s="2" t="s">
        <v>43</v>
      </c>
      <c r="J317" s="4" t="s">
        <v>200</v>
      </c>
      <c r="K317" s="4"/>
    </row>
    <row r="318" spans="1:11" ht="12.75">
      <c r="A318" s="2" t="s">
        <v>106</v>
      </c>
      <c r="B318" s="2" t="s">
        <v>6</v>
      </c>
      <c r="C318" s="2" t="s">
        <v>7</v>
      </c>
      <c r="D318" s="2" t="s">
        <v>8</v>
      </c>
      <c r="E318" s="2" t="s">
        <v>9</v>
      </c>
      <c r="F318" s="2" t="s">
        <v>46</v>
      </c>
      <c r="G318" s="2" t="s">
        <v>48</v>
      </c>
      <c r="H318" s="2" t="s">
        <v>197</v>
      </c>
      <c r="I318" s="2" t="s">
        <v>198</v>
      </c>
      <c r="J318" s="4"/>
      <c r="K318" s="4"/>
    </row>
    <row r="319" spans="1:11" ht="12.75">
      <c r="A319" s="2" t="s">
        <v>107</v>
      </c>
      <c r="B319" s="2">
        <v>1</v>
      </c>
      <c r="C319" s="2">
        <v>1</v>
      </c>
      <c r="D319" s="2">
        <f>2/500^0.5*20</f>
        <v>1.7888543819998317</v>
      </c>
      <c r="E319" s="2">
        <f>2/500^0.5*20</f>
        <v>1.7888543819998317</v>
      </c>
      <c r="F319" s="2">
        <f>2/500^0.5*20</f>
        <v>1.7888543819998317</v>
      </c>
      <c r="G319" s="2">
        <f>2/500^0.5*20</f>
        <v>1.7888543819998317</v>
      </c>
      <c r="H319" s="2">
        <v>1</v>
      </c>
      <c r="I319" s="2">
        <v>1</v>
      </c>
      <c r="J319" s="4"/>
      <c r="K319" s="4"/>
    </row>
    <row r="320" spans="1:11" ht="12.75">
      <c r="A320" s="2" t="s">
        <v>10</v>
      </c>
      <c r="B320" s="2">
        <v>0</v>
      </c>
      <c r="C320" s="2">
        <f>C319/(C319+D319)</f>
        <v>0.3585701736362872</v>
      </c>
      <c r="D320" s="2">
        <f>D319/(C319+D319)</f>
        <v>0.6414298263637129</v>
      </c>
      <c r="E320" s="2">
        <f>E319/(E319+F319)</f>
        <v>0.5</v>
      </c>
      <c r="F320" s="2">
        <f>F319/(E319+F319)</f>
        <v>0.5</v>
      </c>
      <c r="G320" s="2">
        <f>G319/(G319+H319)</f>
        <v>0.6414298263637129</v>
      </c>
      <c r="H320" s="2">
        <f>H319/(G319+H319)</f>
        <v>0.3585701736362872</v>
      </c>
      <c r="I320" s="2">
        <v>0</v>
      </c>
      <c r="J320" s="4"/>
      <c r="K320" s="4"/>
    </row>
    <row r="321" spans="1:11" ht="12.75">
      <c r="A321" s="2" t="s">
        <v>11</v>
      </c>
      <c r="B321" s="2">
        <f>-0.6*20^2/12</f>
        <v>-20</v>
      </c>
      <c r="C321" s="2">
        <f>0.6*20^2/12</f>
        <v>20</v>
      </c>
      <c r="D321" s="2">
        <f>-0.6/5*500/12</f>
        <v>-5</v>
      </c>
      <c r="E321" s="2">
        <f>0.6/5*500/12</f>
        <v>5</v>
      </c>
      <c r="F321" s="2">
        <v>0</v>
      </c>
      <c r="G321" s="2">
        <v>0</v>
      </c>
      <c r="H321" s="2">
        <v>0</v>
      </c>
      <c r="I321" s="2">
        <v>0</v>
      </c>
      <c r="J321" s="4"/>
      <c r="K321" s="4"/>
    </row>
    <row r="322" spans="1:11" ht="12.75">
      <c r="A322" s="2" t="s">
        <v>17</v>
      </c>
      <c r="C322" s="2">
        <f>-(C321+D321)*$C$320</f>
        <v>-5.378552604544308</v>
      </c>
      <c r="D322" s="2">
        <f>-(C321+D321)*$D$320</f>
        <v>-9.621447395455695</v>
      </c>
      <c r="E322" s="2">
        <f>-(E321+F321)*$E$320</f>
        <v>-2.5</v>
      </c>
      <c r="F322" s="2">
        <f>-(E321+F321)*$F$320</f>
        <v>-2.5</v>
      </c>
      <c r="G322" s="2">
        <f>-(G321+H321)*$G$320</f>
        <v>0</v>
      </c>
      <c r="H322" s="2">
        <f>-(G321+H321)*$H$320</f>
        <v>0</v>
      </c>
      <c r="J322" s="4"/>
      <c r="K322" s="4"/>
    </row>
    <row r="323" spans="1:11" ht="12.75">
      <c r="A323" s="2" t="s">
        <v>18</v>
      </c>
      <c r="B323" s="2">
        <f>C322/2</f>
        <v>-2.689276302272154</v>
      </c>
      <c r="D323" s="2">
        <f>E322/2</f>
        <v>-1.25</v>
      </c>
      <c r="E323" s="2">
        <f>D322/2</f>
        <v>-4.810723697727847</v>
      </c>
      <c r="F323" s="2">
        <f>G322/2</f>
        <v>0</v>
      </c>
      <c r="G323" s="2">
        <f>F322/2</f>
        <v>-1.25</v>
      </c>
      <c r="I323" s="2">
        <f>H322/2</f>
        <v>0</v>
      </c>
      <c r="J323" s="4"/>
      <c r="K323" s="4"/>
    </row>
    <row r="324" spans="1:11" ht="12.75">
      <c r="A324" s="2" t="s">
        <v>17</v>
      </c>
      <c r="C324" s="2">
        <f>-(C323+D323)*$C$320</f>
        <v>0.448212717045359</v>
      </c>
      <c r="D324" s="2">
        <f>-(C323+D323)*$D$320</f>
        <v>0.8017872829546412</v>
      </c>
      <c r="E324" s="2">
        <f>-(E323+F323)*$E$320</f>
        <v>2.4053618488639237</v>
      </c>
      <c r="F324" s="2">
        <f>-(E323+F323)*$F$320</f>
        <v>2.4053618488639237</v>
      </c>
      <c r="G324" s="2">
        <f>-(G323+H323)*$G$320</f>
        <v>0.8017872829546412</v>
      </c>
      <c r="H324" s="2">
        <f>-(G323+H323)*$H$320</f>
        <v>0.448212717045359</v>
      </c>
      <c r="J324" s="4"/>
      <c r="K324" s="4"/>
    </row>
    <row r="325" spans="1:11" ht="12.75">
      <c r="A325" s="2" t="s">
        <v>18</v>
      </c>
      <c r="B325" s="2">
        <f>C324/2</f>
        <v>0.2241063585226795</v>
      </c>
      <c r="D325" s="2">
        <f>E324/2</f>
        <v>1.2026809244319618</v>
      </c>
      <c r="E325" s="2">
        <f>D324/2</f>
        <v>0.4008936414773206</v>
      </c>
      <c r="F325" s="2">
        <f>G324/2</f>
        <v>0.4008936414773206</v>
      </c>
      <c r="G325" s="2">
        <f>F324/2</f>
        <v>1.2026809244319618</v>
      </c>
      <c r="I325" s="2">
        <f>H324/2</f>
        <v>0.2241063585226795</v>
      </c>
      <c r="J325" s="4"/>
      <c r="K325" s="4"/>
    </row>
    <row r="326" spans="1:11" ht="12.75">
      <c r="A326" s="2" t="s">
        <v>17</v>
      </c>
      <c r="C326" s="2">
        <f>-(C325+D325)*$C$320</f>
        <v>-0.43124550790261895</v>
      </c>
      <c r="D326" s="2">
        <f>-(C325+D325)*$D$320</f>
        <v>-0.771435416529343</v>
      </c>
      <c r="E326" s="2">
        <f>-(E325+F325)*$E$320</f>
        <v>-0.4008936414773206</v>
      </c>
      <c r="F326" s="2">
        <f>-(E325+F325)*$F$320</f>
        <v>-0.4008936414773206</v>
      </c>
      <c r="G326" s="2">
        <f>-(G325+H325)*$G$320</f>
        <v>-0.771435416529343</v>
      </c>
      <c r="H326" s="2">
        <f>-(G325+H325)*$H$320</f>
        <v>-0.43124550790261895</v>
      </c>
      <c r="J326" s="4"/>
      <c r="K326" s="4"/>
    </row>
    <row r="327" spans="1:11" ht="12.75">
      <c r="A327" s="2" t="s">
        <v>18</v>
      </c>
      <c r="B327" s="2">
        <f>C326/2</f>
        <v>-0.21562275395130948</v>
      </c>
      <c r="D327" s="2">
        <f>E326/2</f>
        <v>-0.2004468207386603</v>
      </c>
      <c r="E327" s="2">
        <f>D326/2</f>
        <v>-0.3857177082646715</v>
      </c>
      <c r="F327" s="2">
        <f>G326/2</f>
        <v>-0.3857177082646715</v>
      </c>
      <c r="G327" s="2">
        <f>F326/2</f>
        <v>-0.2004468207386603</v>
      </c>
      <c r="I327" s="2">
        <f>H326/2</f>
        <v>-0.21562275395130948</v>
      </c>
      <c r="J327" s="4"/>
      <c r="K327" s="4"/>
    </row>
    <row r="328" spans="1:11" ht="12.75">
      <c r="A328" s="2" t="s">
        <v>17</v>
      </c>
      <c r="C328" s="2">
        <f>-(C327+D327)*$C$320</f>
        <v>0.07187425131710315</v>
      </c>
      <c r="D328" s="2">
        <f>-(C327+D327)*$D$320</f>
        <v>0.12857256942155718</v>
      </c>
      <c r="E328" s="2">
        <f>-(E327+F327)*$E$320</f>
        <v>0.3857177082646715</v>
      </c>
      <c r="F328" s="2">
        <f>-(E327+F327)*$F$320</f>
        <v>0.3857177082646715</v>
      </c>
      <c r="G328" s="2">
        <f>-(G327+H327)*$G$320</f>
        <v>0.12857256942155718</v>
      </c>
      <c r="H328" s="2">
        <f>-(G327+H327)*$H$320</f>
        <v>0.07187425131710315</v>
      </c>
      <c r="J328" s="4"/>
      <c r="K328" s="4"/>
    </row>
    <row r="329" spans="1:11" ht="12.75">
      <c r="A329" s="2" t="s">
        <v>18</v>
      </c>
      <c r="B329" s="2">
        <f>C328/2</f>
        <v>0.035937125658551575</v>
      </c>
      <c r="D329" s="2">
        <f>E328/2</f>
        <v>0.19285885413233575</v>
      </c>
      <c r="E329" s="2">
        <f>D328/2</f>
        <v>0.06428628471077859</v>
      </c>
      <c r="F329" s="2">
        <f>G328/2</f>
        <v>0.06428628471077859</v>
      </c>
      <c r="G329" s="2">
        <f>F328/2</f>
        <v>0.19285885413233575</v>
      </c>
      <c r="I329" s="2">
        <f>H328/2</f>
        <v>0.035937125658551575</v>
      </c>
      <c r="J329" s="4"/>
      <c r="K329" s="4"/>
    </row>
    <row r="330" spans="1:11" ht="12.75">
      <c r="A330" s="2" t="s">
        <v>17</v>
      </c>
      <c r="C330" s="2">
        <f>-(C329+D329)*$C$320</f>
        <v>-0.06915343281352701</v>
      </c>
      <c r="D330" s="2">
        <f>-(C329+D329)*$D$320</f>
        <v>-0.12370542131880875</v>
      </c>
      <c r="E330" s="2">
        <f>-(E329+F329)*$E$320</f>
        <v>-0.06428628471077859</v>
      </c>
      <c r="F330" s="2">
        <f>-(E329+F329)*$F$320</f>
        <v>-0.06428628471077859</v>
      </c>
      <c r="G330" s="2">
        <f>-(G329+H329)*$G$320</f>
        <v>-0.12370542131880875</v>
      </c>
      <c r="H330" s="2">
        <f>-(G329+H329)*$H$320</f>
        <v>-0.06915343281352701</v>
      </c>
      <c r="J330" s="4"/>
      <c r="K330" s="4"/>
    </row>
    <row r="331" spans="1:11" ht="12.75">
      <c r="A331" s="2" t="s">
        <v>18</v>
      </c>
      <c r="B331" s="2">
        <f>C330/2</f>
        <v>-0.034576716406763505</v>
      </c>
      <c r="D331" s="2">
        <f>E330/2</f>
        <v>-0.032143142355389294</v>
      </c>
      <c r="E331" s="2">
        <f>D330/2</f>
        <v>-0.06185271065940438</v>
      </c>
      <c r="F331" s="2">
        <f>G330/2</f>
        <v>-0.06185271065940438</v>
      </c>
      <c r="G331" s="2">
        <f>F330/2</f>
        <v>-0.032143142355389294</v>
      </c>
      <c r="I331" s="2">
        <f>H330/2</f>
        <v>-0.034576716406763505</v>
      </c>
      <c r="J331" s="4"/>
      <c r="K331" s="4"/>
    </row>
    <row r="332" spans="1:11" ht="12.75">
      <c r="A332" s="2" t="s">
        <v>17</v>
      </c>
      <c r="C332" s="2">
        <f>-(C331+D331)*$C$320</f>
        <v>0.011525572135587836</v>
      </c>
      <c r="D332" s="2">
        <f>-(C331+D331)*$D$320</f>
        <v>0.02061757021980146</v>
      </c>
      <c r="E332" s="2">
        <f>-(E331+F331)*$E$320</f>
        <v>0.06185271065940438</v>
      </c>
      <c r="F332" s="2">
        <f>-(E331+F331)*$F$320</f>
        <v>0.06185271065940438</v>
      </c>
      <c r="G332" s="2">
        <f>-(G331+H331)*$G$320</f>
        <v>0.02061757021980146</v>
      </c>
      <c r="H332" s="2">
        <f>-(G331+H331)*$H$320</f>
        <v>0.011525572135587836</v>
      </c>
      <c r="J332" s="4"/>
      <c r="K332" s="4"/>
    </row>
    <row r="333" spans="1:11" ht="12.75">
      <c r="A333" s="2" t="s">
        <v>18</v>
      </c>
      <c r="B333" s="2">
        <f>C332/2</f>
        <v>0.005762786067793918</v>
      </c>
      <c r="D333" s="2">
        <f>E332/2</f>
        <v>0.03092635532970219</v>
      </c>
      <c r="E333" s="2">
        <f>D332/2</f>
        <v>0.01030878510990073</v>
      </c>
      <c r="F333" s="2">
        <f>G332/2</f>
        <v>0.01030878510990073</v>
      </c>
      <c r="G333" s="2">
        <f>F332/2</f>
        <v>0.03092635532970219</v>
      </c>
      <c r="I333" s="2">
        <f>H332/2</f>
        <v>0.005762786067793918</v>
      </c>
      <c r="J333" s="4"/>
      <c r="K333" s="4"/>
    </row>
    <row r="334" spans="1:11" ht="12.75">
      <c r="A334" s="2" t="s">
        <v>17</v>
      </c>
      <c r="C334" s="2">
        <f>-(C333+D333)*$C$320</f>
        <v>-0.01108926860050883</v>
      </c>
      <c r="D334" s="2">
        <f>-(C333+D333)*$D$320</f>
        <v>-0.019837086729193362</v>
      </c>
      <c r="E334" s="2">
        <f>-(E333+F333)*$E$320</f>
        <v>-0.01030878510990073</v>
      </c>
      <c r="F334" s="2">
        <f>-(E333+F333)*$F$320</f>
        <v>-0.01030878510990073</v>
      </c>
      <c r="G334" s="2">
        <f>-(G333+H333)*$G$320</f>
        <v>-0.019837086729193362</v>
      </c>
      <c r="H334" s="2">
        <f>-(G333+H333)*$H$320</f>
        <v>-0.01108926860050883</v>
      </c>
      <c r="J334" s="4"/>
      <c r="K334" s="4"/>
    </row>
    <row r="335" spans="1:11" ht="12.75">
      <c r="A335" s="2" t="s">
        <v>18</v>
      </c>
      <c r="B335" s="2">
        <f>C334/2</f>
        <v>-0.005544634300254415</v>
      </c>
      <c r="D335" s="2">
        <f>E334/2</f>
        <v>-0.005154392554950365</v>
      </c>
      <c r="E335" s="2">
        <f>D334/2</f>
        <v>-0.009918543364596681</v>
      </c>
      <c r="F335" s="2">
        <f>G334/2</f>
        <v>-0.009918543364596681</v>
      </c>
      <c r="G335" s="2">
        <f>F334/2</f>
        <v>-0.005154392554950365</v>
      </c>
      <c r="I335" s="2">
        <f>H334/2</f>
        <v>-0.005544634300254415</v>
      </c>
      <c r="J335" s="4"/>
      <c r="K335" s="4"/>
    </row>
    <row r="336" spans="1:11" ht="12.75">
      <c r="A336" s="2" t="s">
        <v>17</v>
      </c>
      <c r="C336" s="2">
        <f>-(C335+D335)*$C$320</f>
        <v>0.0018482114334181384</v>
      </c>
      <c r="D336" s="2">
        <f>-(C335+D335)*$D$320</f>
        <v>0.0033061811215322275</v>
      </c>
      <c r="E336" s="2">
        <f>-(E335+F335)*$E$320</f>
        <v>0.009918543364596681</v>
      </c>
      <c r="F336" s="2">
        <f>-(E335+F335)*$F$320</f>
        <v>0.009918543364596681</v>
      </c>
      <c r="G336" s="2">
        <f>-(G335+H335)*$G$320</f>
        <v>0.0033061811215322275</v>
      </c>
      <c r="H336" s="2">
        <f>-(G335+H335)*$H$320</f>
        <v>0.0018482114334181384</v>
      </c>
      <c r="J336" s="4"/>
      <c r="K336" s="4"/>
    </row>
    <row r="337" spans="1:11" ht="12.75">
      <c r="A337" s="2" t="s">
        <v>18</v>
      </c>
      <c r="B337" s="2">
        <f>C336/2</f>
        <v>0.0009241057167090692</v>
      </c>
      <c r="D337" s="2">
        <f>E336/2</f>
        <v>0.0049592716822983406</v>
      </c>
      <c r="E337" s="2">
        <f>D336/2</f>
        <v>0.0016530905607661137</v>
      </c>
      <c r="F337" s="2">
        <f>G336/2</f>
        <v>0.0016530905607661137</v>
      </c>
      <c r="G337" s="2">
        <f>F336/2</f>
        <v>0.0049592716822983406</v>
      </c>
      <c r="I337" s="2">
        <f>H336/2</f>
        <v>0.0009241057167090692</v>
      </c>
      <c r="J337" s="4"/>
      <c r="K337" s="4"/>
    </row>
    <row r="338" spans="1:11" ht="12.75">
      <c r="A338" s="2" t="s">
        <v>17</v>
      </c>
      <c r="C338" s="2">
        <f>-(C337+D337)*$C$320</f>
        <v>-0.001778246908231238</v>
      </c>
      <c r="D338" s="2">
        <f>-(C337+D337)*$D$320</f>
        <v>-0.003181024774067103</v>
      </c>
      <c r="E338" s="2">
        <f>-(E337+F337)*$E$320</f>
        <v>-0.0016530905607661137</v>
      </c>
      <c r="F338" s="2">
        <f>-(E337+F337)*$F$320</f>
        <v>-0.0016530905607661137</v>
      </c>
      <c r="G338" s="2">
        <f>-(G337+H337)*$G$320</f>
        <v>-0.003181024774067103</v>
      </c>
      <c r="H338" s="2">
        <f>-(G337+H337)*$H$320</f>
        <v>-0.001778246908231238</v>
      </c>
      <c r="J338" s="4"/>
      <c r="K338" s="4"/>
    </row>
    <row r="339" spans="1:11" ht="12.75">
      <c r="A339" s="2" t="s">
        <v>18</v>
      </c>
      <c r="B339" s="2">
        <f>C338/2</f>
        <v>-0.000889123454115619</v>
      </c>
      <c r="D339" s="2">
        <f>E338/2</f>
        <v>-0.0008265452803830569</v>
      </c>
      <c r="E339" s="2">
        <f>D338/2</f>
        <v>-0.0015905123870335516</v>
      </c>
      <c r="F339" s="2">
        <f>G338/2</f>
        <v>-0.0015905123870335516</v>
      </c>
      <c r="G339" s="2">
        <f>F338/2</f>
        <v>-0.0008265452803830569</v>
      </c>
      <c r="I339" s="2">
        <f>H338/2</f>
        <v>-0.000889123454115619</v>
      </c>
      <c r="J339" s="4"/>
      <c r="K339" s="4"/>
    </row>
    <row r="340" spans="1:11" ht="12.75">
      <c r="A340" s="2" t="s">
        <v>17</v>
      </c>
      <c r="C340" s="2">
        <f>-(C339+D339)*$C$320</f>
        <v>0.0002963744847052064</v>
      </c>
      <c r="D340" s="2">
        <f>-(C339+D339)*$D$320</f>
        <v>0.0005301707956778506</v>
      </c>
      <c r="E340" s="2">
        <f>-(E339+F339)*$E$320</f>
        <v>0.0015905123870335516</v>
      </c>
      <c r="F340" s="2">
        <f>-(E339+F339)*$F$320</f>
        <v>0.0015905123870335516</v>
      </c>
      <c r="G340" s="2">
        <f>-(G339+H339)*$G$320</f>
        <v>0.0005301707956778506</v>
      </c>
      <c r="H340" s="2">
        <f>-(G339+H339)*$H$320</f>
        <v>0.0002963744847052064</v>
      </c>
      <c r="J340" s="4"/>
      <c r="K340" s="4"/>
    </row>
    <row r="341" spans="1:11" ht="12.75">
      <c r="A341" s="2" t="s">
        <v>18</v>
      </c>
      <c r="B341" s="2">
        <f>C340/2</f>
        <v>0.0001481872423526032</v>
      </c>
      <c r="D341" s="2">
        <f>E340/2</f>
        <v>0.0007952561935167758</v>
      </c>
      <c r="E341" s="2">
        <f>D340/2</f>
        <v>0.0002650853978389253</v>
      </c>
      <c r="F341" s="2">
        <f>G340/2</f>
        <v>0.0002650853978389253</v>
      </c>
      <c r="G341" s="2">
        <f>F340/2</f>
        <v>0.0007952561935167758</v>
      </c>
      <c r="I341" s="2">
        <f>H340/2</f>
        <v>0.0001481872423526032</v>
      </c>
      <c r="J341" s="4"/>
      <c r="K341" s="4"/>
    </row>
    <row r="342" spans="1:11" ht="12.75">
      <c r="A342" s="2" t="s">
        <v>17</v>
      </c>
      <c r="C342" s="2">
        <f>-(C341+D341)*$C$320</f>
        <v>-0.00028515515139464307</v>
      </c>
      <c r="D342" s="2">
        <f>-(C341+D341)*$D$320</f>
        <v>-0.0005101010421221328</v>
      </c>
      <c r="E342" s="2">
        <f>-(E341+F341)*$E$320</f>
        <v>-0.0002650853978389253</v>
      </c>
      <c r="F342" s="2">
        <f>-(E341+F341)*$F$320</f>
        <v>-0.0002650853978389253</v>
      </c>
      <c r="G342" s="2">
        <f>-(G341+H341)*$G$320</f>
        <v>-0.0005101010421221328</v>
      </c>
      <c r="H342" s="2">
        <f>-(G341+H341)*$H$320</f>
        <v>-0.00028515515139464307</v>
      </c>
      <c r="J342" s="4"/>
      <c r="K342" s="4"/>
    </row>
    <row r="343" spans="1:11" ht="12.75">
      <c r="A343" s="2" t="s">
        <v>18</v>
      </c>
      <c r="B343" s="2">
        <f>C342/2</f>
        <v>-0.00014257757569732153</v>
      </c>
      <c r="D343" s="2">
        <f>E342/2</f>
        <v>-0.00013254269891946265</v>
      </c>
      <c r="E343" s="2">
        <f>D342/2</f>
        <v>-0.0002550505210610664</v>
      </c>
      <c r="F343" s="2">
        <f>G342/2</f>
        <v>-0.0002550505210610664</v>
      </c>
      <c r="G343" s="2">
        <f>F342/2</f>
        <v>-0.00013254269891946265</v>
      </c>
      <c r="I343" s="2">
        <f>H342/2</f>
        <v>-0.00014257757569732153</v>
      </c>
      <c r="J343" s="4"/>
      <c r="K343" s="4"/>
    </row>
    <row r="344" spans="1:11" ht="12.75">
      <c r="A344" s="2" t="s">
        <v>17</v>
      </c>
      <c r="C344" s="2">
        <f>-(C343+D343)*$C$320</f>
        <v>4.752585856577386E-05</v>
      </c>
      <c r="D344" s="2">
        <f>-(C343+D343)*$D$320</f>
        <v>8.50168403536888E-05</v>
      </c>
      <c r="E344" s="2">
        <f>-(E343+F343)*$E$320</f>
        <v>0.0002550505210610664</v>
      </c>
      <c r="F344" s="2">
        <f>-(E343+F343)*$F$320</f>
        <v>0.0002550505210610664</v>
      </c>
      <c r="G344" s="2">
        <f>-(G343+H343)*$G$320</f>
        <v>8.50168403536888E-05</v>
      </c>
      <c r="H344" s="2">
        <f>-(G343+H343)*$H$320</f>
        <v>4.752585856577386E-05</v>
      </c>
      <c r="J344" s="4"/>
      <c r="K344" s="4"/>
    </row>
    <row r="345" spans="1:11" ht="12.75">
      <c r="A345" s="2" t="s">
        <v>18</v>
      </c>
      <c r="B345" s="2">
        <f>C344/2</f>
        <v>2.376292928288693E-05</v>
      </c>
      <c r="D345" s="2">
        <f>E344/2</f>
        <v>0.0001275252605305332</v>
      </c>
      <c r="E345" s="2">
        <f>D344/2</f>
        <v>4.25084201768444E-05</v>
      </c>
      <c r="F345" s="2">
        <f>G344/2</f>
        <v>4.25084201768444E-05</v>
      </c>
      <c r="G345" s="2">
        <f>F344/2</f>
        <v>0.0001275252605305332</v>
      </c>
      <c r="I345" s="2">
        <f>H344/2</f>
        <v>2.376292928288693E-05</v>
      </c>
      <c r="J345" s="4"/>
      <c r="K345" s="4"/>
    </row>
    <row r="346" spans="1:11" ht="12.75">
      <c r="A346" s="2" t="s">
        <v>110</v>
      </c>
      <c r="B346" s="2">
        <f>SUM(B321:B344)</f>
        <v>-22.679173544752206</v>
      </c>
      <c r="C346" s="2">
        <f aca="true" t="shared" si="7" ref="C346:I346">SUM(C321:C344)</f>
        <v>14.641700436354153</v>
      </c>
      <c r="D346" s="2">
        <f t="shared" si="7"/>
        <v>-14.641700436354153</v>
      </c>
      <c r="E346" s="2">
        <f t="shared" si="7"/>
        <v>0.09463815113607632</v>
      </c>
      <c r="F346" s="2">
        <f t="shared" si="7"/>
        <v>-0.09463815113607632</v>
      </c>
      <c r="G346" s="2">
        <f t="shared" si="7"/>
        <v>-0.020253040898458342</v>
      </c>
      <c r="H346" s="2">
        <f t="shared" si="7"/>
        <v>0.02025304089845841</v>
      </c>
      <c r="I346" s="2">
        <f t="shared" si="7"/>
        <v>0.010102757519946317</v>
      </c>
      <c r="J346" s="4" t="s">
        <v>199</v>
      </c>
      <c r="K346" s="4"/>
    </row>
    <row r="347" spans="1:11" ht="12.75">
      <c r="A347" s="2" t="s">
        <v>114</v>
      </c>
      <c r="B347" s="2">
        <f>-(B346+C346-0.6*20^2/2)/20</f>
        <v>6.4018736554199025</v>
      </c>
      <c r="J347" s="4" t="s">
        <v>241</v>
      </c>
      <c r="K347" s="4"/>
    </row>
    <row r="348" spans="1:11" ht="12.75">
      <c r="A348" s="2" t="s">
        <v>201</v>
      </c>
      <c r="B348" s="2">
        <f>-(H346+I346)/20</f>
        <v>-0.0015177899209202362</v>
      </c>
      <c r="J348" s="4" t="s">
        <v>243</v>
      </c>
      <c r="K348" s="4"/>
    </row>
    <row r="349" spans="1:11" ht="12.75">
      <c r="A349" s="2" t="s">
        <v>202</v>
      </c>
      <c r="B349" s="2">
        <f>(B346+I346+(B347+B348-0.6*30)*20+0.6*30^2/2)/40</f>
        <v>0.38345116306868404</v>
      </c>
      <c r="J349" s="4" t="s">
        <v>242</v>
      </c>
      <c r="K349" s="4"/>
    </row>
    <row r="350" spans="1:11" ht="12.75">
      <c r="A350" s="2" t="s">
        <v>203</v>
      </c>
      <c r="B350" s="2">
        <f>-(B347*30-B349*20-0.6*30^2/2+B346+E346)/10</f>
        <v>10.819734899239272</v>
      </c>
      <c r="J350" s="4" t="s">
        <v>244</v>
      </c>
      <c r="K350" s="4"/>
    </row>
    <row r="351" spans="1:11" ht="12.75">
      <c r="A351" s="2" t="s">
        <v>204</v>
      </c>
      <c r="B351" s="2">
        <f>-(B350+B347+B348-0.6*30)</f>
        <v>0.7799092352617478</v>
      </c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2" t="s">
        <v>11</v>
      </c>
      <c r="B353" s="2">
        <v>-100</v>
      </c>
      <c r="C353" s="2">
        <v>-100</v>
      </c>
      <c r="D353" s="2">
        <f>-2*B353*(500^0.5/20/500)*20^2</f>
        <v>178.88543819998318</v>
      </c>
      <c r="E353" s="2">
        <f>D353</f>
        <v>178.88543819998318</v>
      </c>
      <c r="F353" s="2">
        <f>-D353</f>
        <v>-178.88543819998318</v>
      </c>
      <c r="G353" s="2">
        <f>-E353</f>
        <v>-178.88543819998318</v>
      </c>
      <c r="H353" s="2">
        <v>0</v>
      </c>
      <c r="I353" s="2">
        <v>0</v>
      </c>
      <c r="J353" s="4" t="s">
        <v>205</v>
      </c>
      <c r="K353" s="4"/>
    </row>
    <row r="354" spans="1:11" ht="12.75">
      <c r="A354" s="2" t="s">
        <v>17</v>
      </c>
      <c r="C354" s="2">
        <f>-(C353+D353)*$C$320</f>
        <v>-28.285965272742573</v>
      </c>
      <c r="D354" s="2">
        <f>-(C353+D353)*$D$320</f>
        <v>-50.59947292724062</v>
      </c>
      <c r="E354" s="2">
        <f>-(E353+F353)*$E$320</f>
        <v>0</v>
      </c>
      <c r="F354" s="2">
        <f>-(E353+F353)*$F$320</f>
        <v>0</v>
      </c>
      <c r="G354" s="2">
        <f>-(G353+H353)*$G$320</f>
        <v>114.74245556361191</v>
      </c>
      <c r="H354" s="2">
        <f>-(G353+H353)*$H$320</f>
        <v>64.14298263637129</v>
      </c>
      <c r="J354" s="4" t="s">
        <v>240</v>
      </c>
      <c r="K354" s="4"/>
    </row>
    <row r="355" spans="1:11" ht="12.75">
      <c r="A355" s="2" t="s">
        <v>18</v>
      </c>
      <c r="B355" s="2">
        <f>C354/2</f>
        <v>-14.142982636371286</v>
      </c>
      <c r="D355" s="2">
        <f>E354/2</f>
        <v>0</v>
      </c>
      <c r="E355" s="2">
        <f>D354/2</f>
        <v>-25.29973646362031</v>
      </c>
      <c r="F355" s="2">
        <f>G354/2</f>
        <v>57.371227781805956</v>
      </c>
      <c r="G355" s="2">
        <f>F354/2</f>
        <v>0</v>
      </c>
      <c r="I355" s="2">
        <f>H354/2</f>
        <v>32.07149131818564</v>
      </c>
      <c r="J355" s="4"/>
      <c r="K355" s="4"/>
    </row>
    <row r="356" spans="1:11" ht="12.75">
      <c r="A356" s="2" t="s">
        <v>17</v>
      </c>
      <c r="C356" s="2">
        <f>-(C355+D355)*$C$320</f>
        <v>0</v>
      </c>
      <c r="D356" s="2">
        <f>-(C355+D355)*$D$320</f>
        <v>0</v>
      </c>
      <c r="E356" s="2">
        <f>-(E355+F355)*$E$320</f>
        <v>-16.035745659092825</v>
      </c>
      <c r="F356" s="2">
        <f>-(E355+F355)*$F$320</f>
        <v>-16.035745659092825</v>
      </c>
      <c r="G356" s="2">
        <f>-(G355+H355)*$G$320</f>
        <v>0</v>
      </c>
      <c r="H356" s="2">
        <f>-(G355+H355)*$H$320</f>
        <v>0</v>
      </c>
      <c r="J356" s="4"/>
      <c r="K356" s="4"/>
    </row>
    <row r="357" spans="1:11" ht="12.75">
      <c r="A357" s="2" t="s">
        <v>18</v>
      </c>
      <c r="B357" s="2">
        <f>C356/2</f>
        <v>0</v>
      </c>
      <c r="D357" s="2">
        <f>E356/2</f>
        <v>-8.017872829546413</v>
      </c>
      <c r="E357" s="2">
        <f>D356/2</f>
        <v>0</v>
      </c>
      <c r="F357" s="2">
        <f>G356/2</f>
        <v>0</v>
      </c>
      <c r="G357" s="2">
        <f>F356/2</f>
        <v>-8.017872829546413</v>
      </c>
      <c r="I357" s="2">
        <f>H356/2</f>
        <v>0</v>
      </c>
      <c r="J357" s="4"/>
      <c r="K357" s="4"/>
    </row>
    <row r="358" spans="1:11" ht="12.75">
      <c r="A358" s="2" t="s">
        <v>17</v>
      </c>
      <c r="C358" s="2">
        <f>-(C357+D357)*$C$320</f>
        <v>2.874970052684126</v>
      </c>
      <c r="D358" s="2">
        <f>-(C357+D357)*$D$320</f>
        <v>5.142902776862287</v>
      </c>
      <c r="E358" s="2">
        <f>-(E357+F357)*$E$320</f>
        <v>0</v>
      </c>
      <c r="F358" s="2">
        <f>-(E357+F357)*$F$320</f>
        <v>0</v>
      </c>
      <c r="G358" s="2">
        <f>-(G357+H357)*$G$320</f>
        <v>5.142902776862287</v>
      </c>
      <c r="H358" s="2">
        <f>-(G357+H357)*$H$320</f>
        <v>2.874970052684126</v>
      </c>
      <c r="J358" s="4"/>
      <c r="K358" s="4"/>
    </row>
    <row r="359" spans="1:11" ht="12.75">
      <c r="A359" s="2" t="s">
        <v>18</v>
      </c>
      <c r="B359" s="2">
        <f>C358/2</f>
        <v>1.437485026342063</v>
      </c>
      <c r="D359" s="2">
        <f>E358/2</f>
        <v>0</v>
      </c>
      <c r="E359" s="2">
        <f>D358/2</f>
        <v>2.5714513884311434</v>
      </c>
      <c r="F359" s="2">
        <f>G358/2</f>
        <v>2.5714513884311434</v>
      </c>
      <c r="G359" s="2">
        <f>F358/2</f>
        <v>0</v>
      </c>
      <c r="I359" s="2">
        <f>H358/2</f>
        <v>1.437485026342063</v>
      </c>
      <c r="J359" s="4"/>
      <c r="K359" s="4"/>
    </row>
    <row r="360" spans="1:11" ht="12.75">
      <c r="A360" s="2" t="s">
        <v>17</v>
      </c>
      <c r="C360" s="2">
        <f>-(C359+D359)*$C$320</f>
        <v>0</v>
      </c>
      <c r="D360" s="2">
        <f>-(C359+D359)*$D$320</f>
        <v>0</v>
      </c>
      <c r="E360" s="2">
        <f>-(E359+F359)*$E$320</f>
        <v>-2.5714513884311434</v>
      </c>
      <c r="F360" s="2">
        <f>-(E359+F359)*$F$320</f>
        <v>-2.5714513884311434</v>
      </c>
      <c r="G360" s="2">
        <f>-(G359+H359)*$G$320</f>
        <v>0</v>
      </c>
      <c r="H360" s="2">
        <f>-(G359+H359)*$H$320</f>
        <v>0</v>
      </c>
      <c r="J360" s="4"/>
      <c r="K360" s="4"/>
    </row>
    <row r="361" spans="1:11" ht="12.75">
      <c r="A361" s="2" t="s">
        <v>18</v>
      </c>
      <c r="B361" s="2">
        <f>C360/2</f>
        <v>0</v>
      </c>
      <c r="D361" s="2">
        <f>E360/2</f>
        <v>-1.2857256942155717</v>
      </c>
      <c r="E361" s="2">
        <f>D360/2</f>
        <v>0</v>
      </c>
      <c r="F361" s="2">
        <f>G360/2</f>
        <v>0</v>
      </c>
      <c r="G361" s="2">
        <f>F360/2</f>
        <v>-1.2857256942155717</v>
      </c>
      <c r="I361" s="2">
        <f>H360/2</f>
        <v>0</v>
      </c>
      <c r="J361" s="4"/>
      <c r="K361" s="4"/>
    </row>
    <row r="362" spans="1:11" ht="12.75">
      <c r="A362" s="2" t="s">
        <v>17</v>
      </c>
      <c r="C362" s="2">
        <f>-(C361+D361)*$C$320</f>
        <v>0.46102288542351344</v>
      </c>
      <c r="D362" s="2">
        <f>-(C361+D361)*$D$320</f>
        <v>0.8247028087920584</v>
      </c>
      <c r="E362" s="2">
        <f>-(E361+F361)*$E$320</f>
        <v>0</v>
      </c>
      <c r="F362" s="2">
        <f>-(E361+F361)*$F$320</f>
        <v>0</v>
      </c>
      <c r="G362" s="2">
        <f>-(G361+H361)*$G$320</f>
        <v>0.8247028087920584</v>
      </c>
      <c r="H362" s="2">
        <f>-(G361+H361)*$H$320</f>
        <v>0.46102288542351344</v>
      </c>
      <c r="J362" s="4"/>
      <c r="K362" s="4"/>
    </row>
    <row r="363" spans="1:11" ht="12.75">
      <c r="A363" s="2" t="s">
        <v>18</v>
      </c>
      <c r="B363" s="2">
        <f>C362/2</f>
        <v>0.23051144271175672</v>
      </c>
      <c r="D363" s="2">
        <f>E362/2</f>
        <v>0</v>
      </c>
      <c r="E363" s="2">
        <f>D362/2</f>
        <v>0.4123514043960292</v>
      </c>
      <c r="F363" s="2">
        <f>G362/2</f>
        <v>0.4123514043960292</v>
      </c>
      <c r="G363" s="2">
        <f>F362/2</f>
        <v>0</v>
      </c>
      <c r="I363" s="2">
        <f>H362/2</f>
        <v>0.23051144271175672</v>
      </c>
      <c r="J363" s="4"/>
      <c r="K363" s="4"/>
    </row>
    <row r="364" spans="1:11" ht="12.75">
      <c r="A364" s="2" t="s">
        <v>17</v>
      </c>
      <c r="C364" s="2">
        <f>-(C363+D363)*$C$320</f>
        <v>0</v>
      </c>
      <c r="D364" s="2">
        <f>-(C363+D363)*$D$320</f>
        <v>0</v>
      </c>
      <c r="E364" s="2">
        <f>-(E363+F363)*$E$320</f>
        <v>-0.4123514043960292</v>
      </c>
      <c r="F364" s="2">
        <f>-(E363+F363)*$F$320</f>
        <v>-0.4123514043960292</v>
      </c>
      <c r="G364" s="2">
        <f>-(G363+H363)*$G$320</f>
        <v>0</v>
      </c>
      <c r="H364" s="2">
        <f>-(G363+H363)*$H$320</f>
        <v>0</v>
      </c>
      <c r="J364" s="4"/>
      <c r="K364" s="4"/>
    </row>
    <row r="365" spans="1:11" ht="12.75">
      <c r="A365" s="2" t="s">
        <v>18</v>
      </c>
      <c r="B365" s="2">
        <f>C364/2</f>
        <v>0</v>
      </c>
      <c r="D365" s="2">
        <f>E364/2</f>
        <v>-0.2061757021980146</v>
      </c>
      <c r="E365" s="2">
        <f>D364/2</f>
        <v>0</v>
      </c>
      <c r="F365" s="2">
        <f>G364/2</f>
        <v>0</v>
      </c>
      <c r="G365" s="2">
        <f>F364/2</f>
        <v>-0.2061757021980146</v>
      </c>
      <c r="I365" s="2">
        <f>H364/2</f>
        <v>0</v>
      </c>
      <c r="J365" s="4"/>
      <c r="K365" s="4"/>
    </row>
    <row r="366" spans="1:11" ht="12.75">
      <c r="A366" s="2" t="s">
        <v>17</v>
      </c>
      <c r="C366" s="2">
        <f>-(C365+D365)*$C$320</f>
        <v>0.07392845733672553</v>
      </c>
      <c r="D366" s="2">
        <f>-(C365+D365)*$D$320</f>
        <v>0.13224724486128908</v>
      </c>
      <c r="E366" s="2">
        <f>-(E365+F365)*$E$320</f>
        <v>0</v>
      </c>
      <c r="F366" s="2">
        <f>-(E365+F365)*$F$320</f>
        <v>0</v>
      </c>
      <c r="G366" s="2">
        <f>-(G365+H365)*$G$320</f>
        <v>0.13224724486128908</v>
      </c>
      <c r="H366" s="2">
        <f>-(G365+H365)*$H$320</f>
        <v>0.07392845733672553</v>
      </c>
      <c r="J366" s="4"/>
      <c r="K366" s="4"/>
    </row>
    <row r="367" spans="1:11" ht="12.75">
      <c r="A367" s="2" t="s">
        <v>18</v>
      </c>
      <c r="B367" s="2">
        <f>C366/2</f>
        <v>0.03696422866836276</v>
      </c>
      <c r="D367" s="2">
        <f>E366/2</f>
        <v>0</v>
      </c>
      <c r="E367" s="2">
        <f>D366/2</f>
        <v>0.06612362243064454</v>
      </c>
      <c r="F367" s="2">
        <f>G366/2</f>
        <v>0.06612362243064454</v>
      </c>
      <c r="G367" s="2">
        <f>F366/2</f>
        <v>0</v>
      </c>
      <c r="I367" s="2">
        <f>H366/2</f>
        <v>0.03696422866836276</v>
      </c>
      <c r="J367" s="4"/>
      <c r="K367" s="4"/>
    </row>
    <row r="368" spans="1:11" ht="12.75">
      <c r="A368" s="2" t="s">
        <v>17</v>
      </c>
      <c r="C368" s="2">
        <f>-(C367+D367)*$C$320</f>
        <v>0</v>
      </c>
      <c r="D368" s="2">
        <f>-(C367+D367)*$D$320</f>
        <v>0</v>
      </c>
      <c r="E368" s="2">
        <f>-(E367+F367)*$E$320</f>
        <v>-0.06612362243064454</v>
      </c>
      <c r="F368" s="2">
        <f>-(E367+F367)*$F$320</f>
        <v>-0.06612362243064454</v>
      </c>
      <c r="G368" s="2">
        <f>-(G367+H367)*$G$320</f>
        <v>0</v>
      </c>
      <c r="H368" s="2">
        <f>-(G367+H367)*$H$320</f>
        <v>0</v>
      </c>
      <c r="J368" s="4"/>
      <c r="K368" s="4"/>
    </row>
    <row r="369" spans="1:11" ht="12.75">
      <c r="A369" s="2" t="s">
        <v>18</v>
      </c>
      <c r="B369" s="2">
        <f>C368/2</f>
        <v>0</v>
      </c>
      <c r="D369" s="2">
        <f>E368/2</f>
        <v>-0.03306181121532227</v>
      </c>
      <c r="E369" s="2">
        <f>D368/2</f>
        <v>0</v>
      </c>
      <c r="F369" s="2">
        <f>G368/2</f>
        <v>0</v>
      </c>
      <c r="G369" s="2">
        <f>F368/2</f>
        <v>-0.03306181121532227</v>
      </c>
      <c r="I369" s="2">
        <f>H368/2</f>
        <v>0</v>
      </c>
      <c r="J369" s="4"/>
      <c r="K369" s="4"/>
    </row>
    <row r="370" spans="1:11" ht="12.75">
      <c r="A370" s="2" t="s">
        <v>17</v>
      </c>
      <c r="C370" s="2">
        <f>-(C369+D369)*$C$320</f>
        <v>0.011854979388208254</v>
      </c>
      <c r="D370" s="2">
        <f>-(C369+D369)*$D$320</f>
        <v>0.021206831827114022</v>
      </c>
      <c r="E370" s="2">
        <f>-(E369+F369)*$E$320</f>
        <v>0</v>
      </c>
      <c r="F370" s="2">
        <f>-(E369+F369)*$F$320</f>
        <v>0</v>
      </c>
      <c r="G370" s="2">
        <f>-(G369+H369)*$G$320</f>
        <v>0.021206831827114022</v>
      </c>
      <c r="H370" s="2">
        <f>-(G369+H369)*$H$320</f>
        <v>0.011854979388208254</v>
      </c>
      <c r="J370" s="4"/>
      <c r="K370" s="4"/>
    </row>
    <row r="371" spans="1:11" ht="12.75">
      <c r="A371" s="2" t="s">
        <v>18</v>
      </c>
      <c r="B371" s="2">
        <f>C370/2</f>
        <v>0.005927489694104127</v>
      </c>
      <c r="D371" s="2">
        <f>E370/2</f>
        <v>0</v>
      </c>
      <c r="E371" s="2">
        <f>D370/2</f>
        <v>0.010603415913557011</v>
      </c>
      <c r="F371" s="2">
        <f>G370/2</f>
        <v>0.010603415913557011</v>
      </c>
      <c r="G371" s="2">
        <f>F370/2</f>
        <v>0</v>
      </c>
      <c r="I371" s="2">
        <f>H370/2</f>
        <v>0.005927489694104127</v>
      </c>
      <c r="J371" s="4"/>
      <c r="K371" s="4"/>
    </row>
    <row r="372" spans="1:11" ht="12.75">
      <c r="A372" s="2" t="s">
        <v>17</v>
      </c>
      <c r="C372" s="2">
        <f>-(C371+D371)*$C$320</f>
        <v>0</v>
      </c>
      <c r="D372" s="2">
        <f>-(C371+D371)*$D$320</f>
        <v>0</v>
      </c>
      <c r="E372" s="2">
        <f>-(E371+F371)*$E$320</f>
        <v>-0.010603415913557011</v>
      </c>
      <c r="F372" s="2">
        <f>-(E371+F371)*$F$320</f>
        <v>-0.010603415913557011</v>
      </c>
      <c r="G372" s="2">
        <f>-(G371+H371)*$G$320</f>
        <v>0</v>
      </c>
      <c r="H372" s="2">
        <f>-(G371+H371)*$H$320</f>
        <v>0</v>
      </c>
      <c r="J372" s="4"/>
      <c r="K372" s="4"/>
    </row>
    <row r="373" spans="1:11" ht="12.75">
      <c r="A373" s="2" t="s">
        <v>18</v>
      </c>
      <c r="B373" s="2">
        <f>C372/2</f>
        <v>0</v>
      </c>
      <c r="D373" s="2">
        <f>E372/2</f>
        <v>-0.0053017079567785055</v>
      </c>
      <c r="E373" s="2">
        <f>D372/2</f>
        <v>0</v>
      </c>
      <c r="F373" s="2">
        <f>G372/2</f>
        <v>0</v>
      </c>
      <c r="G373" s="2">
        <f>F372/2</f>
        <v>-0.0053017079567785055</v>
      </c>
      <c r="I373" s="2">
        <f>H372/2</f>
        <v>0</v>
      </c>
      <c r="J373" s="4"/>
      <c r="K373" s="4"/>
    </row>
    <row r="374" spans="1:11" ht="12.75">
      <c r="A374" s="2" t="s">
        <v>112</v>
      </c>
      <c r="B374" s="2">
        <f>SUM(B353:B372)</f>
        <v>-112.432094448955</v>
      </c>
      <c r="C374" s="2">
        <f aca="true" t="shared" si="8" ref="C374:I374">SUM(C353:C372)</f>
        <v>-124.86418889791001</v>
      </c>
      <c r="D374" s="2">
        <f t="shared" si="8"/>
        <v>124.86418889791001</v>
      </c>
      <c r="E374" s="2">
        <f t="shared" si="8"/>
        <v>137.54995607727005</v>
      </c>
      <c r="F374" s="2">
        <f t="shared" si="8"/>
        <v>-137.54995607727005</v>
      </c>
      <c r="G374" s="2">
        <f t="shared" si="8"/>
        <v>-67.56475901120383</v>
      </c>
      <c r="H374" s="2">
        <f t="shared" si="8"/>
        <v>67.56475901120385</v>
      </c>
      <c r="I374" s="2">
        <f t="shared" si="8"/>
        <v>33.782379505601924</v>
      </c>
      <c r="J374" s="4" t="s">
        <v>199</v>
      </c>
      <c r="K374" s="4"/>
    </row>
    <row r="375" spans="1:11" ht="12.75">
      <c r="A375" s="2" t="s">
        <v>206</v>
      </c>
      <c r="B375" s="2">
        <f>-(B374+C374)/20</f>
        <v>11.864814167343251</v>
      </c>
      <c r="J375" s="4" t="s">
        <v>208</v>
      </c>
      <c r="K375" s="4"/>
    </row>
    <row r="376" spans="1:11" ht="12.75">
      <c r="A376" s="2" t="s">
        <v>207</v>
      </c>
      <c r="B376" s="2">
        <f>-(H374+I374)/20</f>
        <v>-5.067356925840288</v>
      </c>
      <c r="J376" s="4" t="s">
        <v>209</v>
      </c>
      <c r="K376" s="4"/>
    </row>
    <row r="377" spans="1:11" ht="12.75">
      <c r="A377" s="2" t="s">
        <v>211</v>
      </c>
      <c r="B377" s="2">
        <f>(B374+I374+(B375+B376)*20)/40</f>
        <v>1.4324857471676544</v>
      </c>
      <c r="J377" s="4" t="s">
        <v>238</v>
      </c>
      <c r="K377" s="4"/>
    </row>
    <row r="378" spans="1:11" ht="12.75">
      <c r="A378" s="2" t="s">
        <v>212</v>
      </c>
      <c r="B378" s="2">
        <f>-(B375*30-B377*20+B374+E374)/10</f>
        <v>-35.24125717052595</v>
      </c>
      <c r="J378" s="4" t="s">
        <v>210</v>
      </c>
      <c r="K378" s="4"/>
    </row>
    <row r="379" spans="1:11" ht="12.75">
      <c r="A379" s="2" t="s">
        <v>213</v>
      </c>
      <c r="B379" s="2">
        <f>-(B378+B375+B376)</f>
        <v>28.443799929022987</v>
      </c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2" t="s">
        <v>11</v>
      </c>
      <c r="B381" s="2">
        <v>0</v>
      </c>
      <c r="C381" s="2">
        <v>0</v>
      </c>
      <c r="D381" s="2">
        <f>E381</f>
        <v>-178.88543819998318</v>
      </c>
      <c r="E381" s="2">
        <f>-F381</f>
        <v>-178.88543819998318</v>
      </c>
      <c r="F381" s="2">
        <f>G381</f>
        <v>178.88543819998318</v>
      </c>
      <c r="G381" s="2">
        <f>-2*I381*(500^0.5/20/500)*20^2</f>
        <v>178.88543819998318</v>
      </c>
      <c r="H381" s="2">
        <v>-100</v>
      </c>
      <c r="I381" s="2">
        <v>-100</v>
      </c>
      <c r="J381" s="4" t="s">
        <v>214</v>
      </c>
      <c r="K381" s="4"/>
    </row>
    <row r="382" spans="1:11" ht="12.75">
      <c r="A382" s="2" t="s">
        <v>17</v>
      </c>
      <c r="C382" s="2">
        <f>-(C381+D381)*$C$320</f>
        <v>64.14298263637129</v>
      </c>
      <c r="D382" s="2">
        <f>-(C381+D381)*$D$320</f>
        <v>114.74245556361191</v>
      </c>
      <c r="E382" s="2">
        <f>-(E381+F381)*$E$320</f>
        <v>0</v>
      </c>
      <c r="F382" s="2">
        <f>-(E381+F381)*$F$320</f>
        <v>0</v>
      </c>
      <c r="G382" s="2">
        <f>-(G381+H381)*$G$320</f>
        <v>-50.59947292724062</v>
      </c>
      <c r="H382" s="2">
        <f>-(G381+H381)*$H$320</f>
        <v>-28.285965272742573</v>
      </c>
      <c r="J382" s="4" t="s">
        <v>240</v>
      </c>
      <c r="K382" s="4"/>
    </row>
    <row r="383" spans="1:11" ht="12.75">
      <c r="A383" s="2" t="s">
        <v>18</v>
      </c>
      <c r="B383" s="2">
        <f>C382/2</f>
        <v>32.07149131818564</v>
      </c>
      <c r="D383" s="2">
        <f>E382/2</f>
        <v>0</v>
      </c>
      <c r="E383" s="2">
        <f>D382/2</f>
        <v>57.371227781805956</v>
      </c>
      <c r="F383" s="2">
        <f>G382/2</f>
        <v>-25.29973646362031</v>
      </c>
      <c r="G383" s="2">
        <f>F382/2</f>
        <v>0</v>
      </c>
      <c r="I383" s="2">
        <f>H382/2</f>
        <v>-14.142982636371286</v>
      </c>
      <c r="J383" s="4"/>
      <c r="K383" s="4"/>
    </row>
    <row r="384" spans="1:11" ht="12.75">
      <c r="A384" s="2" t="s">
        <v>17</v>
      </c>
      <c r="C384" s="2">
        <f>-(C383+D383)*$C$320</f>
        <v>0</v>
      </c>
      <c r="D384" s="2">
        <f>-(C383+D383)*$D$320</f>
        <v>0</v>
      </c>
      <c r="E384" s="2">
        <f>-(E383+F383)*$E$320</f>
        <v>-16.035745659092825</v>
      </c>
      <c r="F384" s="2">
        <f>-(E383+F383)*$F$320</f>
        <v>-16.035745659092825</v>
      </c>
      <c r="G384" s="2">
        <f>-(G383+H383)*$G$320</f>
        <v>0</v>
      </c>
      <c r="H384" s="2">
        <f>-(G383+H383)*$H$320</f>
        <v>0</v>
      </c>
      <c r="J384" s="4"/>
      <c r="K384" s="4"/>
    </row>
    <row r="385" spans="1:11" ht="12.75">
      <c r="A385" s="2" t="s">
        <v>18</v>
      </c>
      <c r="B385" s="2">
        <f>C384/2</f>
        <v>0</v>
      </c>
      <c r="D385" s="2">
        <f>E384/2</f>
        <v>-8.017872829546413</v>
      </c>
      <c r="E385" s="2">
        <f>D384/2</f>
        <v>0</v>
      </c>
      <c r="F385" s="2">
        <f>G384/2</f>
        <v>0</v>
      </c>
      <c r="G385" s="2">
        <f>F384/2</f>
        <v>-8.017872829546413</v>
      </c>
      <c r="I385" s="2">
        <f>H384/2</f>
        <v>0</v>
      </c>
      <c r="J385" s="4"/>
      <c r="K385" s="4"/>
    </row>
    <row r="386" spans="1:11" ht="12.75">
      <c r="A386" s="2" t="s">
        <v>17</v>
      </c>
      <c r="C386" s="2">
        <f>-(C385+D385)*$C$320</f>
        <v>2.874970052684126</v>
      </c>
      <c r="D386" s="2">
        <f>-(C385+D385)*$D$320</f>
        <v>5.142902776862287</v>
      </c>
      <c r="E386" s="2">
        <f>-(E385+F385)*$E$320</f>
        <v>0</v>
      </c>
      <c r="F386" s="2">
        <f>-(E385+F385)*$F$320</f>
        <v>0</v>
      </c>
      <c r="G386" s="2">
        <f>-(G385+H385)*$G$320</f>
        <v>5.142902776862287</v>
      </c>
      <c r="H386" s="2">
        <f>-(G385+H385)*$H$320</f>
        <v>2.874970052684126</v>
      </c>
      <c r="J386" s="4"/>
      <c r="K386" s="4"/>
    </row>
    <row r="387" spans="1:11" ht="12.75">
      <c r="A387" s="2" t="s">
        <v>18</v>
      </c>
      <c r="B387" s="2">
        <f>C386/2</f>
        <v>1.437485026342063</v>
      </c>
      <c r="D387" s="2">
        <f>E386/2</f>
        <v>0</v>
      </c>
      <c r="E387" s="2">
        <f>D386/2</f>
        <v>2.5714513884311434</v>
      </c>
      <c r="F387" s="2">
        <f>G386/2</f>
        <v>2.5714513884311434</v>
      </c>
      <c r="G387" s="2">
        <f>F386/2</f>
        <v>0</v>
      </c>
      <c r="I387" s="2">
        <f>H386/2</f>
        <v>1.437485026342063</v>
      </c>
      <c r="J387" s="4"/>
      <c r="K387" s="4"/>
    </row>
    <row r="388" spans="1:11" ht="12.75">
      <c r="A388" s="2" t="s">
        <v>17</v>
      </c>
      <c r="C388" s="2">
        <f>-(C387+D387)*$C$320</f>
        <v>0</v>
      </c>
      <c r="D388" s="2">
        <f>-(C387+D387)*$D$320</f>
        <v>0</v>
      </c>
      <c r="E388" s="2">
        <f>-(E387+F387)*$E$320</f>
        <v>-2.5714513884311434</v>
      </c>
      <c r="F388" s="2">
        <f>-(E387+F387)*$F$320</f>
        <v>-2.5714513884311434</v>
      </c>
      <c r="G388" s="2">
        <f>-(G387+H387)*$G$320</f>
        <v>0</v>
      </c>
      <c r="H388" s="2">
        <f>-(G387+H387)*$H$320</f>
        <v>0</v>
      </c>
      <c r="J388" s="4"/>
      <c r="K388" s="4"/>
    </row>
    <row r="389" spans="1:11" ht="12.75">
      <c r="A389" s="2" t="s">
        <v>18</v>
      </c>
      <c r="B389" s="2">
        <f>C388/2</f>
        <v>0</v>
      </c>
      <c r="D389" s="2">
        <f>E388/2</f>
        <v>-1.2857256942155717</v>
      </c>
      <c r="E389" s="2">
        <f>D388/2</f>
        <v>0</v>
      </c>
      <c r="F389" s="2">
        <f>G388/2</f>
        <v>0</v>
      </c>
      <c r="G389" s="2">
        <f>F388/2</f>
        <v>-1.2857256942155717</v>
      </c>
      <c r="I389" s="2">
        <f>H388/2</f>
        <v>0</v>
      </c>
      <c r="J389" s="4"/>
      <c r="K389" s="4"/>
    </row>
    <row r="390" spans="1:11" ht="12.75">
      <c r="A390" s="2" t="s">
        <v>17</v>
      </c>
      <c r="C390" s="2">
        <f>-(C389+D389)*$C$320</f>
        <v>0.46102288542351344</v>
      </c>
      <c r="D390" s="2">
        <f>-(C389+D389)*$D$320</f>
        <v>0.8247028087920584</v>
      </c>
      <c r="E390" s="2">
        <f>-(E389+F389)*$E$320</f>
        <v>0</v>
      </c>
      <c r="F390" s="2">
        <f>-(E389+F389)*$F$320</f>
        <v>0</v>
      </c>
      <c r="G390" s="2">
        <f>-(G389+H389)*$G$320</f>
        <v>0.8247028087920584</v>
      </c>
      <c r="H390" s="2">
        <f>-(G389+H389)*$H$320</f>
        <v>0.46102288542351344</v>
      </c>
      <c r="J390" s="4"/>
      <c r="K390" s="4"/>
    </row>
    <row r="391" spans="1:11" ht="12.75">
      <c r="A391" s="2" t="s">
        <v>18</v>
      </c>
      <c r="B391" s="2">
        <f>C390/2</f>
        <v>0.23051144271175672</v>
      </c>
      <c r="D391" s="2">
        <f>E390/2</f>
        <v>0</v>
      </c>
      <c r="E391" s="2">
        <f>D390/2</f>
        <v>0.4123514043960292</v>
      </c>
      <c r="F391" s="2">
        <f>G390/2</f>
        <v>0.4123514043960292</v>
      </c>
      <c r="G391" s="2">
        <f>F390/2</f>
        <v>0</v>
      </c>
      <c r="I391" s="2">
        <f>H390/2</f>
        <v>0.23051144271175672</v>
      </c>
      <c r="J391" s="4"/>
      <c r="K391" s="4"/>
    </row>
    <row r="392" spans="1:11" ht="12.75">
      <c r="A392" s="2" t="s">
        <v>17</v>
      </c>
      <c r="C392" s="2">
        <f>-(C391+D391)*$C$320</f>
        <v>0</v>
      </c>
      <c r="D392" s="2">
        <f>-(C391+D391)*$D$320</f>
        <v>0</v>
      </c>
      <c r="E392" s="2">
        <f>-(E391+F391)*$E$320</f>
        <v>-0.4123514043960292</v>
      </c>
      <c r="F392" s="2">
        <f>-(E391+F391)*$F$320</f>
        <v>-0.4123514043960292</v>
      </c>
      <c r="G392" s="2">
        <f>-(G391+H391)*$G$320</f>
        <v>0</v>
      </c>
      <c r="H392" s="2">
        <f>-(G391+H391)*$H$320</f>
        <v>0</v>
      </c>
      <c r="J392" s="4"/>
      <c r="K392" s="4"/>
    </row>
    <row r="393" spans="1:11" ht="12.75">
      <c r="A393" s="2" t="s">
        <v>18</v>
      </c>
      <c r="B393" s="2">
        <f>C392/2</f>
        <v>0</v>
      </c>
      <c r="D393" s="2">
        <f>E392/2</f>
        <v>-0.2061757021980146</v>
      </c>
      <c r="E393" s="2">
        <f>D392/2</f>
        <v>0</v>
      </c>
      <c r="F393" s="2">
        <f>G392/2</f>
        <v>0</v>
      </c>
      <c r="G393" s="2">
        <f>F392/2</f>
        <v>-0.2061757021980146</v>
      </c>
      <c r="I393" s="2">
        <f>H392/2</f>
        <v>0</v>
      </c>
      <c r="J393" s="4"/>
      <c r="K393" s="4"/>
    </row>
    <row r="394" spans="1:11" ht="12.75">
      <c r="A394" s="2" t="s">
        <v>17</v>
      </c>
      <c r="C394" s="2">
        <f>-(C393+D393)*$C$320</f>
        <v>0.07392845733672553</v>
      </c>
      <c r="D394" s="2">
        <f>-(C393+D393)*$D$320</f>
        <v>0.13224724486128908</v>
      </c>
      <c r="E394" s="2">
        <f>-(E393+F393)*$E$320</f>
        <v>0</v>
      </c>
      <c r="F394" s="2">
        <f>-(E393+F393)*$F$320</f>
        <v>0</v>
      </c>
      <c r="G394" s="2">
        <f>-(G393+H393)*$G$320</f>
        <v>0.13224724486128908</v>
      </c>
      <c r="H394" s="2">
        <f>-(G393+H393)*$H$320</f>
        <v>0.07392845733672553</v>
      </c>
      <c r="J394" s="4"/>
      <c r="K394" s="4"/>
    </row>
    <row r="395" spans="1:11" ht="12.75">
      <c r="A395" s="2" t="s">
        <v>18</v>
      </c>
      <c r="B395" s="2">
        <f>C394/2</f>
        <v>0.03696422866836276</v>
      </c>
      <c r="D395" s="2">
        <f>E394/2</f>
        <v>0</v>
      </c>
      <c r="E395" s="2">
        <f>D394/2</f>
        <v>0.06612362243064454</v>
      </c>
      <c r="F395" s="2">
        <f>G394/2</f>
        <v>0.06612362243064454</v>
      </c>
      <c r="G395" s="2">
        <f>F394/2</f>
        <v>0</v>
      </c>
      <c r="I395" s="2">
        <f>H394/2</f>
        <v>0.03696422866836276</v>
      </c>
      <c r="J395" s="4"/>
      <c r="K395" s="4"/>
    </row>
    <row r="396" spans="1:11" ht="12.75">
      <c r="A396" s="2" t="s">
        <v>17</v>
      </c>
      <c r="C396" s="2">
        <f>-(C395+D395)*$C$320</f>
        <v>0</v>
      </c>
      <c r="D396" s="2">
        <f>-(C395+D395)*$D$320</f>
        <v>0</v>
      </c>
      <c r="E396" s="2">
        <f>-(E395+F395)*$E$320</f>
        <v>-0.06612362243064454</v>
      </c>
      <c r="F396" s="2">
        <f>-(E395+F395)*$F$320</f>
        <v>-0.06612362243064454</v>
      </c>
      <c r="G396" s="2">
        <f>-(G395+H395)*$G$320</f>
        <v>0</v>
      </c>
      <c r="H396" s="2">
        <f>-(G395+H395)*$H$320</f>
        <v>0</v>
      </c>
      <c r="J396" s="4"/>
      <c r="K396" s="4"/>
    </row>
    <row r="397" spans="1:11" ht="12.75">
      <c r="A397" s="2" t="s">
        <v>18</v>
      </c>
      <c r="B397" s="2">
        <f>C396/2</f>
        <v>0</v>
      </c>
      <c r="D397" s="2">
        <f>E396/2</f>
        <v>-0.03306181121532227</v>
      </c>
      <c r="E397" s="2">
        <f>D396/2</f>
        <v>0</v>
      </c>
      <c r="F397" s="2">
        <f>G396/2</f>
        <v>0</v>
      </c>
      <c r="G397" s="2">
        <f>F396/2</f>
        <v>-0.03306181121532227</v>
      </c>
      <c r="I397" s="2">
        <f>H396/2</f>
        <v>0</v>
      </c>
      <c r="J397" s="4"/>
      <c r="K397" s="4"/>
    </row>
    <row r="398" spans="1:11" ht="12.75">
      <c r="A398" s="2" t="s">
        <v>17</v>
      </c>
      <c r="C398" s="2">
        <f>-(C397+D397)*$C$320</f>
        <v>0.011854979388208254</v>
      </c>
      <c r="D398" s="2">
        <f>-(C397+D397)*$D$320</f>
        <v>0.021206831827114022</v>
      </c>
      <c r="E398" s="2">
        <f>-(E397+F397)*$E$320</f>
        <v>0</v>
      </c>
      <c r="F398" s="2">
        <f>-(E397+F397)*$F$320</f>
        <v>0</v>
      </c>
      <c r="G398" s="2">
        <f>-(G397+H397)*$G$320</f>
        <v>0.021206831827114022</v>
      </c>
      <c r="H398" s="2">
        <f>-(G397+H397)*$H$320</f>
        <v>0.011854979388208254</v>
      </c>
      <c r="J398" s="4"/>
      <c r="K398" s="4"/>
    </row>
    <row r="399" spans="1:11" ht="12.75">
      <c r="A399" s="2" t="s">
        <v>18</v>
      </c>
      <c r="B399" s="2">
        <f>C398/2</f>
        <v>0.005927489694104127</v>
      </c>
      <c r="D399" s="2">
        <f>E398/2</f>
        <v>0</v>
      </c>
      <c r="E399" s="2">
        <f>D398/2</f>
        <v>0.010603415913557011</v>
      </c>
      <c r="F399" s="2">
        <f>G398/2</f>
        <v>0.010603415913557011</v>
      </c>
      <c r="G399" s="2">
        <f>F398/2</f>
        <v>0</v>
      </c>
      <c r="I399" s="2">
        <f>H398/2</f>
        <v>0.005927489694104127</v>
      </c>
      <c r="J399" s="4"/>
      <c r="K399" s="4"/>
    </row>
    <row r="400" spans="1:11" ht="12.75">
      <c r="A400" s="2" t="s">
        <v>17</v>
      </c>
      <c r="C400" s="2">
        <f>-(C399+D399)*$C$320</f>
        <v>0</v>
      </c>
      <c r="D400" s="2">
        <f>-(C399+D399)*$D$320</f>
        <v>0</v>
      </c>
      <c r="E400" s="2">
        <f>-(E399+F399)*$E$320</f>
        <v>-0.010603415913557011</v>
      </c>
      <c r="F400" s="2">
        <f>-(E399+F399)*$F$320</f>
        <v>-0.010603415913557011</v>
      </c>
      <c r="G400" s="2">
        <f>-(G399+H399)*$G$320</f>
        <v>0</v>
      </c>
      <c r="H400" s="2">
        <f>-(G399+H399)*$H$320</f>
        <v>0</v>
      </c>
      <c r="J400" s="4"/>
      <c r="K400" s="4"/>
    </row>
    <row r="401" spans="1:11" ht="12.75">
      <c r="A401" s="2" t="s">
        <v>18</v>
      </c>
      <c r="B401" s="2">
        <f>C400/2</f>
        <v>0</v>
      </c>
      <c r="D401" s="2">
        <f>E400/2</f>
        <v>-0.0053017079567785055</v>
      </c>
      <c r="E401" s="2">
        <f>D400/2</f>
        <v>0</v>
      </c>
      <c r="F401" s="2">
        <f>G400/2</f>
        <v>0</v>
      </c>
      <c r="G401" s="2">
        <f>F400/2</f>
        <v>-0.0053017079567785055</v>
      </c>
      <c r="I401" s="2">
        <f>H400/2</f>
        <v>0</v>
      </c>
      <c r="J401" s="4"/>
      <c r="K401" s="4"/>
    </row>
    <row r="402" spans="1:11" ht="12.75">
      <c r="A402" s="2" t="s">
        <v>218</v>
      </c>
      <c r="B402" s="2">
        <f>SUM(B381:B400)</f>
        <v>33.782379505601924</v>
      </c>
      <c r="C402" s="2">
        <f aca="true" t="shared" si="9" ref="C402:I402">SUM(C381:C400)</f>
        <v>67.56475901120385</v>
      </c>
      <c r="D402" s="2">
        <f t="shared" si="9"/>
        <v>-67.56475901120383</v>
      </c>
      <c r="E402" s="2">
        <f t="shared" si="9"/>
        <v>-137.54995607727005</v>
      </c>
      <c r="F402" s="2">
        <f t="shared" si="9"/>
        <v>137.54995607727005</v>
      </c>
      <c r="G402" s="2">
        <f t="shared" si="9"/>
        <v>124.86418889791001</v>
      </c>
      <c r="H402" s="2">
        <f t="shared" si="9"/>
        <v>-124.86418889791001</v>
      </c>
      <c r="I402" s="2">
        <f t="shared" si="9"/>
        <v>-112.432094448955</v>
      </c>
      <c r="J402" s="4" t="s">
        <v>199</v>
      </c>
      <c r="K402" s="4"/>
    </row>
    <row r="403" spans="1:11" ht="12.75">
      <c r="A403" s="2" t="s">
        <v>219</v>
      </c>
      <c r="B403" s="2">
        <f>-(B402+C402)/20</f>
        <v>-5.067356925840288</v>
      </c>
      <c r="J403" s="4" t="s">
        <v>215</v>
      </c>
      <c r="K403" s="4"/>
    </row>
    <row r="404" spans="1:11" ht="12.75">
      <c r="A404" s="2" t="s">
        <v>220</v>
      </c>
      <c r="B404" s="2">
        <f>-(H402+I402)/20</f>
        <v>11.864814167343251</v>
      </c>
      <c r="J404" s="4" t="s">
        <v>216</v>
      </c>
      <c r="K404" s="4"/>
    </row>
    <row r="405" spans="1:11" ht="12.75">
      <c r="A405" s="2" t="s">
        <v>221</v>
      </c>
      <c r="B405" s="2">
        <f>(B402+I402+(B403+B404)*20)/40</f>
        <v>1.4324857471676544</v>
      </c>
      <c r="J405" s="4" t="s">
        <v>239</v>
      </c>
      <c r="K405" s="4"/>
    </row>
    <row r="406" spans="1:11" ht="12.75">
      <c r="A406" s="2" t="s">
        <v>222</v>
      </c>
      <c r="B406" s="2">
        <f>-(B403*30-B405*20+B402+E402)/10</f>
        <v>28.443799929022987</v>
      </c>
      <c r="J406" s="4" t="s">
        <v>217</v>
      </c>
      <c r="K406" s="4"/>
    </row>
    <row r="407" spans="1:10" ht="12.75">
      <c r="A407" s="2" t="s">
        <v>223</v>
      </c>
      <c r="B407" s="2">
        <f>-(B406+B403+B404)</f>
        <v>-35.241257170525955</v>
      </c>
      <c r="J407" s="10"/>
    </row>
    <row r="409" spans="1:10" ht="12.75">
      <c r="A409" s="2" t="s">
        <v>224</v>
      </c>
      <c r="B409" s="2">
        <v>0.9321</v>
      </c>
      <c r="J409" s="2" t="s">
        <v>245</v>
      </c>
    </row>
    <row r="410" spans="1:10" ht="12.75">
      <c r="A410" s="2" t="s">
        <v>225</v>
      </c>
      <c r="B410" s="2">
        <v>0.7744</v>
      </c>
      <c r="J410" s="2" t="s">
        <v>246</v>
      </c>
    </row>
    <row r="412" spans="1:10" ht="12.75">
      <c r="A412" s="2" t="s">
        <v>103</v>
      </c>
      <c r="B412" s="2">
        <f>B346+$B$409*B374+$B$410*B402</f>
        <v>-101.31605409148503</v>
      </c>
      <c r="C412" s="2">
        <f aca="true" t="shared" si="10" ref="C412:I412">C346+$B$409*C374+$B$410*C402</f>
        <v>-49.42206065711151</v>
      </c>
      <c r="D412" s="2">
        <f t="shared" si="10"/>
        <v>49.42206065711152</v>
      </c>
      <c r="E412" s="2">
        <f t="shared" si="10"/>
        <v>21.78626622452157</v>
      </c>
      <c r="F412" s="2">
        <f t="shared" si="10"/>
        <v>-21.78626622452157</v>
      </c>
      <c r="G412" s="2">
        <f t="shared" si="10"/>
        <v>33.69746296729995</v>
      </c>
      <c r="H412" s="2">
        <f t="shared" si="10"/>
        <v>-33.697462967299934</v>
      </c>
      <c r="I412" s="2">
        <f t="shared" si="10"/>
        <v>-55.568755246579244</v>
      </c>
      <c r="J412" s="2" t="s">
        <v>226</v>
      </c>
    </row>
    <row r="413" spans="10:11" ht="12.75">
      <c r="J413" s="17"/>
      <c r="K413" s="17"/>
    </row>
    <row r="414" spans="1:11" ht="12.75">
      <c r="A414" s="4"/>
      <c r="B414" s="4" t="s">
        <v>247</v>
      </c>
      <c r="C414" s="4"/>
      <c r="D414" s="4"/>
      <c r="E414" s="4"/>
      <c r="F414" s="4"/>
      <c r="G414" s="4"/>
      <c r="H414" s="4"/>
      <c r="I414" s="4"/>
      <c r="J414" s="4"/>
      <c r="K414" s="4"/>
    </row>
    <row r="415" spans="2:12" ht="12.75">
      <c r="B415" s="2" t="s">
        <v>227</v>
      </c>
      <c r="C415" s="2" t="s">
        <v>228</v>
      </c>
      <c r="D415" s="2" t="s">
        <v>229</v>
      </c>
      <c r="E415" s="2" t="s">
        <v>230</v>
      </c>
      <c r="F415" s="2" t="s">
        <v>231</v>
      </c>
      <c r="G415" s="2" t="s">
        <v>232</v>
      </c>
      <c r="H415" s="2" t="s">
        <v>233</v>
      </c>
      <c r="I415" s="2" t="s">
        <v>234</v>
      </c>
      <c r="J415" s="2" t="s">
        <v>235</v>
      </c>
      <c r="K415" s="2" t="s">
        <v>236</v>
      </c>
      <c r="L415" s="6" t="s">
        <v>237</v>
      </c>
    </row>
    <row r="416" spans="2:12" ht="12.75">
      <c r="B416" s="2">
        <f>0.119*1000</f>
        <v>119</v>
      </c>
      <c r="C416" s="2">
        <f>-0.0914*1000</f>
        <v>-91.39999999999999</v>
      </c>
      <c r="D416" s="2">
        <f>0.2187*1000</f>
        <v>218.70000000000002</v>
      </c>
      <c r="E416" s="2">
        <f>6.214*1000</f>
        <v>6214</v>
      </c>
      <c r="F416" s="2">
        <f>5.163*1000</f>
        <v>5163</v>
      </c>
      <c r="G416" s="2">
        <f>E416/20</f>
        <v>310.7</v>
      </c>
      <c r="H416" s="2">
        <f>-1/20*(E416-F416)</f>
        <v>-52.550000000000004</v>
      </c>
      <c r="I416" s="2">
        <f>-H416</f>
        <v>52.550000000000004</v>
      </c>
      <c r="J416" s="2">
        <f>F416/20</f>
        <v>258.15</v>
      </c>
      <c r="K416" s="2">
        <v>0</v>
      </c>
      <c r="L416" s="2">
        <v>0</v>
      </c>
    </row>
    <row r="417" spans="2:12" ht="12.75">
      <c r="B417" s="2">
        <f>2/20*(2*K416+B416-3*G416)+B321</f>
        <v>-101.31</v>
      </c>
      <c r="C417" s="2">
        <f>2/20*(K416+2*B416-3*G416)+C321</f>
        <v>-49.41</v>
      </c>
      <c r="D417" s="2">
        <f>2*2/500^0.5*(2*B416+C416-3*H416)+D321</f>
        <v>49.42589457234488</v>
      </c>
      <c r="E417" s="2">
        <f>2*2/500^0.5*(B416+2*C416-3*H416)+E321</f>
        <v>21.788398375068425</v>
      </c>
      <c r="F417" s="2">
        <f>2*2/500^0.5*(2*C416+D416-3*I416)+F321</f>
        <v>-21.779302100847946</v>
      </c>
      <c r="G417" s="2">
        <f>2*2/500^0.5*(C416+2*D416-3*I416)+G321</f>
        <v>33.69307228496684</v>
      </c>
      <c r="H417" s="2">
        <f>2/20*(2*D416+L416-3*J416)+H321</f>
        <v>-33.70499999999999</v>
      </c>
      <c r="I417" s="2">
        <f>2/20*(D416+2*L416-3*J416)+I321</f>
        <v>-55.57499999999999</v>
      </c>
      <c r="L417" s="18"/>
    </row>
    <row r="418" spans="1:1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 t="s">
        <v>248</v>
      </c>
      <c r="L418" s="4"/>
    </row>
    <row r="419" spans="1:1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 t="s">
        <v>249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2" t="s">
        <v>105</v>
      </c>
      <c r="B452" s="2" t="s">
        <v>1</v>
      </c>
      <c r="C452" s="2" t="s">
        <v>2</v>
      </c>
      <c r="D452" s="2" t="s">
        <v>2</v>
      </c>
      <c r="E452" s="2" t="s">
        <v>3</v>
      </c>
      <c r="F452" s="4" t="s">
        <v>256</v>
      </c>
      <c r="G452" s="4"/>
      <c r="H452" s="4"/>
      <c r="I452" s="4"/>
      <c r="J452" s="4"/>
      <c r="K452" s="4"/>
    </row>
    <row r="453" spans="1:11" ht="12.75">
      <c r="A453" s="2" t="s">
        <v>106</v>
      </c>
      <c r="B453" s="2" t="s">
        <v>6</v>
      </c>
      <c r="C453" s="2" t="s">
        <v>7</v>
      </c>
      <c r="D453" s="2" t="s">
        <v>8</v>
      </c>
      <c r="E453" s="2" t="s">
        <v>9</v>
      </c>
      <c r="F453" s="4"/>
      <c r="G453" s="4"/>
      <c r="H453" s="4"/>
      <c r="I453" s="4"/>
      <c r="J453" s="4"/>
      <c r="K453" s="4"/>
    </row>
    <row r="454" spans="1:11" ht="12.75">
      <c r="A454" s="2" t="s">
        <v>35</v>
      </c>
      <c r="B454" s="2">
        <v>0.75</v>
      </c>
      <c r="E454" s="2">
        <v>0.75</v>
      </c>
      <c r="F454" s="4" t="s">
        <v>252</v>
      </c>
      <c r="G454" s="4"/>
      <c r="H454" s="4"/>
      <c r="I454" s="4"/>
      <c r="J454" s="4"/>
      <c r="K454" s="4"/>
    </row>
    <row r="455" spans="1:11" ht="12.75">
      <c r="A455" s="2" t="s">
        <v>10</v>
      </c>
      <c r="B455" s="2">
        <v>0</v>
      </c>
      <c r="C455" s="2">
        <v>1</v>
      </c>
      <c r="D455" s="2">
        <v>1</v>
      </c>
      <c r="E455" s="2">
        <v>0</v>
      </c>
      <c r="F455" s="4" t="s">
        <v>250</v>
      </c>
      <c r="G455" s="4"/>
      <c r="H455" s="4"/>
      <c r="I455" s="4"/>
      <c r="J455" s="4"/>
      <c r="K455" s="4"/>
    </row>
    <row r="456" spans="1:11" ht="12.75">
      <c r="A456" s="2" t="s">
        <v>263</v>
      </c>
      <c r="B456" s="2">
        <f>-3*100*10/16</f>
        <v>-187.5</v>
      </c>
      <c r="C456" s="2">
        <v>0</v>
      </c>
      <c r="D456" s="2">
        <v>0</v>
      </c>
      <c r="E456" s="2">
        <f>10*10^2/8</f>
        <v>125</v>
      </c>
      <c r="F456" s="4" t="s">
        <v>265</v>
      </c>
      <c r="G456" s="4"/>
      <c r="H456" s="4"/>
      <c r="I456" s="4"/>
      <c r="J456" s="4"/>
      <c r="K456" s="4"/>
    </row>
    <row r="457" spans="6:11" ht="12.75">
      <c r="F457" s="4"/>
      <c r="G457" s="4"/>
      <c r="H457" s="4"/>
      <c r="I457" s="4"/>
      <c r="J457" s="4"/>
      <c r="K457" s="4"/>
    </row>
    <row r="458" spans="1:11" ht="12.75">
      <c r="A458" s="2" t="s">
        <v>107</v>
      </c>
      <c r="B458" s="2">
        <v>1</v>
      </c>
      <c r="E458" s="2">
        <v>1</v>
      </c>
      <c r="F458" s="4" t="s">
        <v>251</v>
      </c>
      <c r="G458" s="4"/>
      <c r="H458" s="4"/>
      <c r="I458" s="4"/>
      <c r="J458" s="4"/>
      <c r="K458" s="4"/>
    </row>
    <row r="459" spans="1:11" ht="12.75">
      <c r="A459" s="2" t="s">
        <v>10</v>
      </c>
      <c r="B459" s="2">
        <v>0</v>
      </c>
      <c r="C459" s="2">
        <v>1</v>
      </c>
      <c r="D459" s="2">
        <v>1</v>
      </c>
      <c r="E459" s="2">
        <v>0</v>
      </c>
      <c r="F459" s="4"/>
      <c r="G459" s="4"/>
      <c r="H459" s="4"/>
      <c r="I459" s="4"/>
      <c r="J459" s="4"/>
      <c r="K459" s="4"/>
    </row>
    <row r="460" spans="1:11" ht="12.75">
      <c r="A460" s="2" t="s">
        <v>11</v>
      </c>
      <c r="B460" s="2">
        <f>-100*10/8</f>
        <v>-125</v>
      </c>
      <c r="C460" s="2">
        <f>-B460</f>
        <v>125</v>
      </c>
      <c r="D460" s="2">
        <f>-10*10^2/12</f>
        <v>-83.33333333333333</v>
      </c>
      <c r="E460" s="2">
        <f>-D460</f>
        <v>83.33333333333333</v>
      </c>
      <c r="F460" s="4"/>
      <c r="G460" s="4"/>
      <c r="H460" s="4"/>
      <c r="I460" s="4"/>
      <c r="J460" s="4"/>
      <c r="K460" s="4"/>
    </row>
    <row r="461" spans="1:11" ht="12.75">
      <c r="A461" s="2" t="s">
        <v>109</v>
      </c>
      <c r="B461" s="2">
        <f>C461/2</f>
        <v>-62.5</v>
      </c>
      <c r="C461" s="2">
        <f>-C460</f>
        <v>-125</v>
      </c>
      <c r="D461" s="2">
        <f>-D460</f>
        <v>83.33333333333333</v>
      </c>
      <c r="E461" s="2">
        <f>D461/2</f>
        <v>41.666666666666664</v>
      </c>
      <c r="F461" s="4"/>
      <c r="G461" s="4"/>
      <c r="H461" s="4"/>
      <c r="I461" s="4"/>
      <c r="J461" s="4"/>
      <c r="K461" s="4"/>
    </row>
    <row r="462" spans="1:11" ht="12.75">
      <c r="A462" s="2" t="s">
        <v>103</v>
      </c>
      <c r="B462" s="2">
        <f>SUM(B460:B461)</f>
        <v>-187.5</v>
      </c>
      <c r="C462" s="2">
        <f>SUM(C460:C461)</f>
        <v>0</v>
      </c>
      <c r="D462" s="2">
        <f>SUM(D460:D461)</f>
        <v>0</v>
      </c>
      <c r="E462" s="2">
        <f>SUM(E460:E461)</f>
        <v>125</v>
      </c>
      <c r="F462" s="4" t="s">
        <v>258</v>
      </c>
      <c r="G462" s="4"/>
      <c r="H462" s="4"/>
      <c r="I462" s="4"/>
      <c r="J462" s="4"/>
      <c r="K462" s="4"/>
    </row>
    <row r="463" spans="1:11" ht="12.75">
      <c r="A463" s="2" t="s">
        <v>253</v>
      </c>
      <c r="B463" s="2">
        <f>(B456+100*5)/10</f>
        <v>31.25</v>
      </c>
      <c r="F463" s="4" t="s">
        <v>255</v>
      </c>
      <c r="G463" s="4"/>
      <c r="H463" s="4"/>
      <c r="I463" s="4"/>
      <c r="J463" s="4"/>
      <c r="K463" s="4"/>
    </row>
    <row r="464" spans="1:11" ht="12.75">
      <c r="A464" s="2" t="s">
        <v>254</v>
      </c>
      <c r="B464" s="2">
        <f>(-E456+10*10^2/2)/10</f>
        <v>37.5</v>
      </c>
      <c r="F464" s="4"/>
      <c r="G464" s="4"/>
      <c r="H464" s="4"/>
      <c r="I464" s="4"/>
      <c r="J464" s="4"/>
      <c r="K464" s="4"/>
    </row>
    <row r="465" spans="6:11" ht="12.75">
      <c r="F465" s="4"/>
      <c r="G465" s="4"/>
      <c r="H465" s="4"/>
      <c r="I465" s="4"/>
      <c r="J465" s="4"/>
      <c r="K465" s="4"/>
    </row>
    <row r="466" spans="1:11" ht="12.75">
      <c r="A466" s="2" t="s">
        <v>264</v>
      </c>
      <c r="B466" s="2">
        <v>-100</v>
      </c>
      <c r="C466" s="2">
        <v>0</v>
      </c>
      <c r="D466" s="2">
        <v>0</v>
      </c>
      <c r="E466" s="2">
        <v>100</v>
      </c>
      <c r="F466" s="4" t="s">
        <v>257</v>
      </c>
      <c r="G466" s="4"/>
      <c r="H466" s="4"/>
      <c r="I466" s="4"/>
      <c r="J466" s="4"/>
      <c r="K466" s="4"/>
    </row>
    <row r="467" spans="1:11" ht="12.75">
      <c r="A467" s="2" t="s">
        <v>260</v>
      </c>
      <c r="B467" s="2">
        <f>-B466/10</f>
        <v>10</v>
      </c>
      <c r="F467" s="4" t="s">
        <v>266</v>
      </c>
      <c r="G467" s="4"/>
      <c r="H467" s="4"/>
      <c r="I467" s="4"/>
      <c r="J467" s="4"/>
      <c r="K467" s="4"/>
    </row>
    <row r="468" spans="1:11" ht="12.75">
      <c r="A468" s="2" t="s">
        <v>261</v>
      </c>
      <c r="B468" s="2">
        <f>E466/10</f>
        <v>10</v>
      </c>
      <c r="F468" s="4" t="s">
        <v>259</v>
      </c>
      <c r="G468" s="4"/>
      <c r="H468" s="4"/>
      <c r="I468" s="4"/>
      <c r="J468" s="4"/>
      <c r="K468" s="4"/>
    </row>
    <row r="469" spans="6:11" ht="12.75">
      <c r="F469" s="4"/>
      <c r="G469" s="4"/>
      <c r="H469" s="4"/>
      <c r="I469" s="4"/>
      <c r="J469" s="4"/>
      <c r="K469" s="4"/>
    </row>
    <row r="470" spans="1:11" ht="12.75">
      <c r="A470" s="2" t="s">
        <v>152</v>
      </c>
      <c r="B470" s="2">
        <f>(B463+B464)/(B467+B468)</f>
        <v>3.4375</v>
      </c>
      <c r="F470" s="4" t="s">
        <v>262</v>
      </c>
      <c r="G470" s="4"/>
      <c r="H470" s="4"/>
      <c r="I470" s="4"/>
      <c r="J470" s="4"/>
      <c r="K470" s="4"/>
    </row>
    <row r="471" spans="1:11" ht="12.75">
      <c r="A471" s="2" t="s">
        <v>103</v>
      </c>
      <c r="B471" s="2">
        <f>B456+$B$470*B466</f>
        <v>-531.25</v>
      </c>
      <c r="C471" s="2">
        <f>C456+$B$470*C466</f>
        <v>0</v>
      </c>
      <c r="D471" s="2">
        <f>D456+$B$470*D466</f>
        <v>0</v>
      </c>
      <c r="E471" s="2">
        <f>E456+$B$470*E466</f>
        <v>468.75</v>
      </c>
      <c r="F471" s="4" t="s">
        <v>267</v>
      </c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 t="s">
        <v>268</v>
      </c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 t="s">
        <v>269</v>
      </c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 t="s">
        <v>270</v>
      </c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 t="s">
        <v>271</v>
      </c>
      <c r="G475" s="4"/>
      <c r="H475" s="4"/>
      <c r="I475" s="4"/>
      <c r="J475" s="4"/>
      <c r="K475" s="4"/>
    </row>
    <row r="476" spans="1:11" s="1" customFormat="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s="1" customFormat="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s="1" customFormat="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s="1" customFormat="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s="1" customFormat="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s="1" customFormat="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s="1" customFormat="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s="1" customFormat="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s="1" customFormat="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s="1" customFormat="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s="1" customFormat="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s="1" customFormat="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s="1" customFormat="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s="1" customFormat="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s="1" customFormat="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s="1" customFormat="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s="1" customFormat="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s="1" customFormat="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s="1" customFormat="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s="1" customFormat="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</sheetData>
  <printOptions/>
  <pageMargins left="0.75" right="0.7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Naresh K Chandiramani</dc:creator>
  <cp:keywords/>
  <dc:description/>
  <cp:lastModifiedBy>Prof. Naresh K Chandiramani</cp:lastModifiedBy>
  <cp:lastPrinted>2012-08-28T07:35:35Z</cp:lastPrinted>
  <dcterms:created xsi:type="dcterms:W3CDTF">2011-08-18T12:56:34Z</dcterms:created>
  <dcterms:modified xsi:type="dcterms:W3CDTF">2012-08-28T07:35:39Z</dcterms:modified>
  <cp:category/>
  <cp:version/>
  <cp:contentType/>
  <cp:contentStatus/>
</cp:coreProperties>
</file>